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Kaitlyn.Markley\Downloads\"/>
    </mc:Choice>
  </mc:AlternateContent>
  <xr:revisionPtr revIDLastSave="0" documentId="8_{50DAFE8A-37BA-438A-AD96-7E0C0D969759}" xr6:coauthVersionLast="47" xr6:coauthVersionMax="47" xr10:uidLastSave="{00000000-0000-0000-0000-000000000000}"/>
  <bookViews>
    <workbookView xWindow="35445" yWindow="165" windowWidth="19185" windowHeight="10200" tabRatio="1000" activeTab="7" xr2:uid="{11F7861E-12C4-9947-AA48-2F8C3B146434}"/>
  </bookViews>
  <sheets>
    <sheet name="Overview" sheetId="7" r:id="rId1"/>
    <sheet name="Setting" sheetId="22" r:id="rId2"/>
    <sheet name="Model Inputs" sheetId="2" r:id="rId3"/>
    <sheet name="Model" sheetId="17" r:id="rId4"/>
    <sheet name="Detailed Results " sheetId="28" state="hidden" r:id="rId5"/>
    <sheet name="Mortality Cost Calculation" sheetId="32" r:id="rId6"/>
    <sheet name="Results" sheetId="24" r:id="rId7"/>
    <sheet name="OWSA" sheetId="27" r:id="rId8"/>
    <sheet name="Appendix" sheetId="29" r:id="rId9"/>
    <sheet name="U_Lists" sheetId="14" state="hidden" r:id="rId10"/>
  </sheets>
  <externalReferences>
    <externalReference r:id="rId11"/>
    <externalReference r:id="rId12"/>
  </externalReferences>
  <definedNames>
    <definedName name="_xlnm._FilterDatabase" localSheetId="2" hidden="1">'Model Inputs'!$A$2:$W$215</definedName>
    <definedName name="age_firstb">'[1]Model Inputs'!$F$108</definedName>
    <definedName name="c_custom1_avg">'Model Inputs'!$G$96</definedName>
    <definedName name="c_custom1_other">'Model Inputs'!$G$185</definedName>
    <definedName name="c_custom1_priv_other">'Model Inputs'!$G$184</definedName>
    <definedName name="c_custom1_privhos">'Model Inputs'!$G$182</definedName>
    <definedName name="c_custom1_privphar">'Model Inputs'!$G$183</definedName>
    <definedName name="c_custom1_pubhc">'Model Inputs'!$G$181</definedName>
    <definedName name="c_custom1_pubhosp">'Model Inputs'!$G$180</definedName>
    <definedName name="c_custom2_avg">'Model Inputs'!$G$97</definedName>
    <definedName name="c_custom2_other">'Model Inputs'!$G$194</definedName>
    <definedName name="c_custom2_priv_other">'Model Inputs'!$G$193</definedName>
    <definedName name="c_custom2_privhos">'Model Inputs'!$G$191</definedName>
    <definedName name="c_custom2_privphar">'Model Inputs'!$G$192</definedName>
    <definedName name="c_custom2_pubhc">'Model Inputs'!$G$190</definedName>
    <definedName name="c_custom2_pubhosp">'Model Inputs'!$G$189</definedName>
    <definedName name="c_custom3_avg">'Model Inputs'!$G$98</definedName>
    <definedName name="c_custom3_other">'Model Inputs'!$G$203</definedName>
    <definedName name="c_custom3_priv_other">'Model Inputs'!$G$202</definedName>
    <definedName name="c_custom3_privhos">'Model Inputs'!$G$200</definedName>
    <definedName name="c_custom3_privphar">'Model Inputs'!$G$201</definedName>
    <definedName name="c_custom3_pubhc">'Model Inputs'!$G$199</definedName>
    <definedName name="c_custom3_pubhosp">'Model Inputs'!$G$198</definedName>
    <definedName name="c_custom4_avg">'Model Inputs'!$G$99</definedName>
    <definedName name="c_custom4_other">'Model Inputs'!$G$212</definedName>
    <definedName name="c_custom4_priv_other">'Model Inputs'!$G$211</definedName>
    <definedName name="c_custom4_privhos">'Model Inputs'!$G$209</definedName>
    <definedName name="c_custom4_privphar">'Model Inputs'!$G$210</definedName>
    <definedName name="c_custom4_pubhc">'Model Inputs'!$G$208</definedName>
    <definedName name="c_custom4_pubhosp">'Model Inputs'!$G$207</definedName>
    <definedName name="c_drug_avg">'Model Inputs'!$G$95</definedName>
    <definedName name="c_drug_other">'Model Inputs'!$G$176</definedName>
    <definedName name="c_drug_priv_hos">'Model Inputs'!$G$173</definedName>
    <definedName name="c_drug_priv_other">'Model Inputs'!$G$175</definedName>
    <definedName name="c_drug_priv_phar">'Model Inputs'!$G$174</definedName>
    <definedName name="c_drug_pub_hc">'Model Inputs'!$G$172</definedName>
    <definedName name="c_drug_pub_hos">'Model Inputs'!$G$171</definedName>
    <definedName name="custom1_ad">'Model Inputs'!$G$86</definedName>
    <definedName name="custom1_notx">'Model Inputs'!$G$61</definedName>
    <definedName name="custom1_tx">'Model Inputs'!$G$60</definedName>
    <definedName name="custom2_ad">'Model Inputs'!$G$87</definedName>
    <definedName name="custom2_notx">'Model Inputs'!$G$63</definedName>
    <definedName name="custom2_tx">'Model Inputs'!$G$62</definedName>
    <definedName name="custom3_ad">'Model Inputs'!$G$88</definedName>
    <definedName name="custom3_notx">'Model Inputs'!$G$65</definedName>
    <definedName name="custom3_tx">'Model Inputs'!$G$64</definedName>
    <definedName name="custom4_ad">'Model Inputs'!$G$89</definedName>
    <definedName name="custom4_notx">'Model Inputs'!$G$67</definedName>
    <definedName name="custom4_tx">'Model Inputs'!$G$66</definedName>
    <definedName name="daly_ad">'Model Inputs'!$G$84</definedName>
    <definedName name="daly_notx">'Model Inputs'!$G$54</definedName>
    <definedName name="daly_tx">'Model Inputs'!$G$53</definedName>
    <definedName name="death_ad">'Model Inputs'!$G$85</definedName>
    <definedName name="death_notx">'Model Inputs'!$G$56</definedName>
    <definedName name="death_tx">'Model Inputs'!$G$55</definedName>
    <definedName name="disc_c">'[2]Model Inputs'!$G$231</definedName>
    <definedName name="dR">'[1]Model Inputs'!$F$112</definedName>
    <definedName name="expected_life">'[2]Model Inputs'!$G$229</definedName>
    <definedName name="gdp_percapita">'[2]Model Inputs'!$G$230</definedName>
    <definedName name="ly_ad">'Model Inputs'!$G$82</definedName>
    <definedName name="ly_notx">'Model Inputs'!$G$50</definedName>
    <definedName name="ly_tx">'Model Inputs'!$G$49</definedName>
    <definedName name="OWSA_all">OWSA!$C$6:$L$154</definedName>
    <definedName name="owsa_high">Appendix!$E$8</definedName>
    <definedName name="owsa_low">Appendix!$E$7</definedName>
    <definedName name="OWSA_results">OWSA!$J$7:$K$154</definedName>
    <definedName name="OWSA_sort">OWSA!$C$7:$C$154</definedName>
    <definedName name="OWSA_spread">OWSA!$L$6:$L$154</definedName>
    <definedName name="p_f_ad">'Model Inputs'!$G$165</definedName>
    <definedName name="p_p1_f">'Model Inputs'!$G$25</definedName>
    <definedName name="p_p1_other_f">'Model Inputs'!$G$130</definedName>
    <definedName name="p_p1_other_ss1">'Model Inputs'!$G$128</definedName>
    <definedName name="p_p1_other_ss2">'Model Inputs'!$G$129</definedName>
    <definedName name="p_p1_other_st">'Model Inputs'!$G$131</definedName>
    <definedName name="p_p1_privh_f">'Model Inputs'!$G$118</definedName>
    <definedName name="p_p1_privh_ss1">'Model Inputs'!$G$116</definedName>
    <definedName name="p_p1_privh_ss2">'Model Inputs'!$G$117</definedName>
    <definedName name="p_p1_privh_st">'Model Inputs'!$G$119</definedName>
    <definedName name="p_p1_privo_f">'Model Inputs'!$G$126</definedName>
    <definedName name="p_p1_privo_ss1">'Model Inputs'!$G$124</definedName>
    <definedName name="p_p1_privo_ss2">'Model Inputs'!$G$125</definedName>
    <definedName name="p_p1_privo_st">'Model Inputs'!$G$127</definedName>
    <definedName name="p_p1_privph_f">'Model Inputs'!$G$122</definedName>
    <definedName name="p_p1_privph_ss1">'Model Inputs'!$G$120</definedName>
    <definedName name="p_p1_privph_ss2">'Model Inputs'!$G$121</definedName>
    <definedName name="p_p1_privph_st">'Model Inputs'!$G$123</definedName>
    <definedName name="p_p1_pubh_f">'Model Inputs'!$G$110</definedName>
    <definedName name="p_p1_pubh_ss1">'Model Inputs'!$G$108</definedName>
    <definedName name="p_p1_pubh_ss2">'Model Inputs'!$G$109</definedName>
    <definedName name="p_p1_pubh_st">'Model Inputs'!$G$111</definedName>
    <definedName name="p_p1_pubhc_f">'Model Inputs'!$G$114</definedName>
    <definedName name="p_p1_pubhc_ss1">'Model Inputs'!$G$112</definedName>
    <definedName name="p_p1_pubhc_ss2">'Model Inputs'!$G$113</definedName>
    <definedName name="p_p1_pubhc_st">'Model Inputs'!$G$115</definedName>
    <definedName name="p_p1_ss1">'Model Inputs'!$G$23</definedName>
    <definedName name="p_p1_ss2">'Model Inputs'!$G$24</definedName>
    <definedName name="p_p1_st">'Model Inputs'!$G$26</definedName>
    <definedName name="p_p2_other_f">'Model Inputs'!$G$157</definedName>
    <definedName name="p_p2_other_ss1">'Model Inputs'!$G$155</definedName>
    <definedName name="p_p2_other_ss2">'Model Inputs'!$G$156</definedName>
    <definedName name="p_p2_other_st">'Model Inputs'!$G$158</definedName>
    <definedName name="p_p2_privh_f">'Model Inputs'!$G$145</definedName>
    <definedName name="p_p2_privh_ss1">'Model Inputs'!$G$143</definedName>
    <definedName name="p_p2_privh_ss2">'Model Inputs'!$G$144</definedName>
    <definedName name="p_p2_privh_st">'Model Inputs'!$G$146</definedName>
    <definedName name="p_p2_privo_f">'Model Inputs'!$G$153</definedName>
    <definedName name="p_p2_privo_ss1">'Model Inputs'!$G$151</definedName>
    <definedName name="p_p2_privo_ss2">'Model Inputs'!$G$152</definedName>
    <definedName name="p_p2_privo_st">'Model Inputs'!$G$154</definedName>
    <definedName name="p_p2_privph_f">'Model Inputs'!$G$149</definedName>
    <definedName name="p_p2_privph_ss1">'Model Inputs'!$G$147</definedName>
    <definedName name="p_p2_privph_ss2">'Model Inputs'!$G$148</definedName>
    <definedName name="p_p2_privph_st">'Model Inputs'!$G$150</definedName>
    <definedName name="p_p2_pubh_f">'Model Inputs'!$G$137</definedName>
    <definedName name="p_p2_pubh_ss1">'Model Inputs'!$G$135</definedName>
    <definedName name="p_p2_pubh_ss2">'Model Inputs'!$G$136</definedName>
    <definedName name="p_p2_pubh_st">'Model Inputs'!$G$138</definedName>
    <definedName name="p_p2_pubhc_f">'Model Inputs'!$G$141</definedName>
    <definedName name="p_p2_pubhc_ss1">'Model Inputs'!$G$139</definedName>
    <definedName name="p_p2_pubhc_ss2">'Model Inputs'!$G$140</definedName>
    <definedName name="p_p2_pubhc_st">'Model Inputs'!$G$142</definedName>
    <definedName name="p_priv_hos">'Model Inputs'!$G$12</definedName>
    <definedName name="p_priv_other">'Model Inputs'!$G$14</definedName>
    <definedName name="p_priv_phar">'Model Inputs'!$G$13</definedName>
    <definedName name="p_pub_hc">'Model Inputs'!$G$11</definedName>
    <definedName name="p_pub_hos">'Model Inputs'!$G$10</definedName>
    <definedName name="p_sf_ad">'Model Inputs'!$G$27</definedName>
    <definedName name="p_ss1_ad">'Model Inputs'!$G$163</definedName>
    <definedName name="p_ss2_ad">'Model Inputs'!$G$164</definedName>
    <definedName name="p_txeff_f_s">'Model Inputs'!$G$42</definedName>
    <definedName name="p_txeff_s">'Model Inputs'!$G$43</definedName>
    <definedName name="p_txeff_ss1_s">'Model Inputs'!$G$40</definedName>
    <definedName name="p_txeff_ss2_s">'Model Inputs'!$G$41</definedName>
    <definedName name="p_updose">'Model Inputs'!$G$32</definedName>
    <definedName name="p_updose_other">'Model Inputs'!$G$222</definedName>
    <definedName name="p_updose_prihos">'Model Inputs'!$G$219</definedName>
    <definedName name="p_updose_priphar">'Model Inputs'!$G$220</definedName>
    <definedName name="p_updose_privother">'Model Inputs'!$G$221</definedName>
    <definedName name="p_updose_pubhc">'Model Inputs'!$G$218</definedName>
    <definedName name="p_updose_pubhos">'Model Inputs'!$G$217</definedName>
    <definedName name="pop_elig">'Model Inputs'!$G$5</definedName>
    <definedName name="pop_receive_other">'Model Inputs'!$G$9</definedName>
    <definedName name="pop_receive_priv">'Model Inputs'!$G$8</definedName>
    <definedName name="pop_receive_pub">'Model Inputs'!$G$7</definedName>
    <definedName name="pop_seek">'Model Inputs'!$G$6</definedName>
    <definedName name="pr_branch_custom1_ideal">Model!$AH$50:$AH$74</definedName>
    <definedName name="pr_branch_custom1_real">Model!$AH$4:$AH$46</definedName>
    <definedName name="pr_branch_custom2_ideal">Model!$AI$50:$AI$74</definedName>
    <definedName name="pr_branch_custom2_real">Model!$AI$4:$AI$46</definedName>
    <definedName name="pr_branch_custom3_ideal">Model!$AJ$50:$AJ$74</definedName>
    <definedName name="pr_branch_custom3_real">Model!$AJ$4:$AJ$46</definedName>
    <definedName name="pr_branch_custom4_ideal">Model!$AK$50:$AK$74</definedName>
    <definedName name="pr_branch_custom4_real">Model!$AK$4:$AK$46</definedName>
    <definedName name="pr_branch_daly_ideal">Model!$AF$50:$AF$74</definedName>
    <definedName name="pr_branch_daly_real">Model!$AF$4:$AF$46</definedName>
    <definedName name="pr_branch_death_ideal">Model!$AG$50:$AG$74</definedName>
    <definedName name="pr_branch_death_real">Model!$AG$4:$AG$46</definedName>
    <definedName name="pr_branch_fa_ideal">#REF!,#REF!,#REF!,#REF!,#REF!</definedName>
    <definedName name="pr_branch_fa_real">#REF!,#REF!,#REF!,#REF!,#REF!</definedName>
    <definedName name="pr_branch_ff_real">#REF!,#REF!,#REF!,#REF!,#REF!</definedName>
    <definedName name="pr_branch_hosp_ideal">Model!#REF!</definedName>
    <definedName name="pr_branch_hosp_real">Model!#REF!</definedName>
    <definedName name="pr_branch_ideal">#REF!</definedName>
    <definedName name="pr_branch_ly_ideal">Model!$AD$50:$AD$74</definedName>
    <definedName name="pr_branch_ly_real">Model!$AD$4:$AD$46</definedName>
    <definedName name="pr_branch_qaly_ideal">Model!$AE$50:$AE$74</definedName>
    <definedName name="pr_branch_qaly_real">Model!$AE$4:$AE$46</definedName>
    <definedName name="pr_branch_real">#REF!</definedName>
    <definedName name="pr_branch_s_ideal">#REF!,#REF!,#REF!,#REF!,#REF!</definedName>
    <definedName name="pr_branch_s_real">#REF!,#REF!,#REF!,#REF!,#REF!</definedName>
    <definedName name="pr_branch_ss_ideal">#REF!,#REF!,#REF!,#REF!,#REF!</definedName>
    <definedName name="pr_branch_ss_real">#REF!,#REF!,#REF!,#REF!,#REF!</definedName>
    <definedName name="qaly_ad">'Model Inputs'!$G$83</definedName>
    <definedName name="qaly_notx">'Model Inputs'!$G$52</definedName>
    <definedName name="qaly_tx">'Model Inputs'!$G$51</definedName>
    <definedName name="sickdays_1_notx">'Model Inputs'!$G$72</definedName>
    <definedName name="sickdays_1_tx">'Model Inputs'!$G$71</definedName>
    <definedName name="sickdays_2_notx">'Model Inputs'!$G$74</definedName>
    <definedName name="sickdays_2_tx">'Model Inputs'!$G$73</definedName>
    <definedName name="sickdays_3_notx">'Model Inputs'!$G$76</definedName>
    <definedName name="sickdays_3_tx">'Model Inputs'!$G$75</definedName>
    <definedName name="sickdays_4_notx">'Model Inputs'!$G$78</definedName>
    <definedName name="sickdays_4_tx">'Model Inputs'!$G$77</definedName>
    <definedName name="total_doses_up_f">'Model Inputs'!$G$35</definedName>
    <definedName name="total_doses_up_ss1">'Model Inputs'!$G$33</definedName>
    <definedName name="total_doses_up_ss2">'Model Inputs'!$G$34</definedName>
    <definedName name="vars_OWSA">'Model Inputs'!$C$2</definedName>
    <definedName name="wage_rate">'Model Inputs'!$G$100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6" i="2" l="1"/>
  <c r="K26" i="2"/>
  <c r="D15" i="32"/>
  <c r="D9" i="32"/>
  <c r="D16" i="32" s="1"/>
  <c r="H55" i="2"/>
  <c r="G3" i="32" l="1"/>
  <c r="D14" i="32"/>
  <c r="D13" i="32" l="1"/>
  <c r="D11" i="32" l="1"/>
  <c r="D10" i="32"/>
  <c r="G80" i="32"/>
  <c r="G79" i="32"/>
  <c r="G78" i="32"/>
  <c r="G77" i="32"/>
  <c r="G76" i="32"/>
  <c r="G75" i="32"/>
  <c r="G74" i="32"/>
  <c r="G73" i="32"/>
  <c r="G72" i="32"/>
  <c r="G71" i="32"/>
  <c r="G70" i="32"/>
  <c r="G69" i="32"/>
  <c r="G68" i="32"/>
  <c r="G67" i="32"/>
  <c r="G66" i="32"/>
  <c r="G65" i="32"/>
  <c r="G64" i="32"/>
  <c r="G63" i="32"/>
  <c r="G62" i="32"/>
  <c r="G61" i="32"/>
  <c r="G60" i="32"/>
  <c r="G59" i="32"/>
  <c r="G58" i="32"/>
  <c r="G57" i="32"/>
  <c r="G56" i="32"/>
  <c r="G55" i="32"/>
  <c r="G54" i="32"/>
  <c r="G53" i="32"/>
  <c r="G52" i="32"/>
  <c r="G51" i="32"/>
  <c r="G50" i="32"/>
  <c r="G49" i="32"/>
  <c r="G48" i="32"/>
  <c r="G47" i="32"/>
  <c r="G46" i="32"/>
  <c r="G45" i="32"/>
  <c r="G44" i="32"/>
  <c r="G43" i="32"/>
  <c r="G42" i="32"/>
  <c r="G41" i="32"/>
  <c r="G40" i="32"/>
  <c r="G39" i="32"/>
  <c r="G38" i="32"/>
  <c r="G37" i="32"/>
  <c r="G36" i="32"/>
  <c r="G35" i="32"/>
  <c r="G34" i="32"/>
  <c r="G33" i="32"/>
  <c r="G32" i="32"/>
  <c r="G31" i="32"/>
  <c r="G30" i="32"/>
  <c r="G29" i="32"/>
  <c r="G28" i="32"/>
  <c r="G27" i="32"/>
  <c r="G26" i="32"/>
  <c r="G25" i="32"/>
  <c r="G24" i="32"/>
  <c r="G23" i="32"/>
  <c r="G22" i="32"/>
  <c r="G21" i="32"/>
  <c r="G20" i="32"/>
  <c r="G19" i="32"/>
  <c r="G18" i="32"/>
  <c r="G17" i="32"/>
  <c r="G16" i="32"/>
  <c r="G15" i="32"/>
  <c r="G14" i="32"/>
  <c r="G13" i="32"/>
  <c r="G12" i="32"/>
  <c r="G11" i="32"/>
  <c r="G10" i="32"/>
  <c r="G9" i="32"/>
  <c r="G8" i="32"/>
  <c r="G7" i="32"/>
  <c r="G6" i="32"/>
  <c r="G5" i="32"/>
  <c r="G4" i="32"/>
  <c r="D12" i="32" l="1"/>
  <c r="E58" i="2"/>
  <c r="J128" i="2" l="1"/>
  <c r="J129" i="2"/>
  <c r="J130" i="2"/>
  <c r="K128" i="2"/>
  <c r="K129" i="2"/>
  <c r="K130" i="2"/>
  <c r="J124" i="2"/>
  <c r="J125" i="2"/>
  <c r="J126" i="2"/>
  <c r="K127" i="2"/>
  <c r="K124" i="2"/>
  <c r="K125" i="2"/>
  <c r="K126" i="2"/>
  <c r="J120" i="2"/>
  <c r="J121" i="2"/>
  <c r="J122" i="2"/>
  <c r="K120" i="2"/>
  <c r="K121" i="2"/>
  <c r="K122" i="2"/>
  <c r="J116" i="2"/>
  <c r="J117" i="2"/>
  <c r="J118" i="2"/>
  <c r="K119" i="2"/>
  <c r="K116" i="2"/>
  <c r="K117" i="2"/>
  <c r="K118" i="2"/>
  <c r="J112" i="2"/>
  <c r="K115" i="2" s="1"/>
  <c r="J113" i="2"/>
  <c r="J114" i="2"/>
  <c r="K112" i="2"/>
  <c r="K113" i="2"/>
  <c r="K114" i="2"/>
  <c r="J108" i="2"/>
  <c r="J109" i="2"/>
  <c r="J110" i="2"/>
  <c r="K108" i="2"/>
  <c r="K109" i="2"/>
  <c r="K110" i="2"/>
  <c r="E71" i="2"/>
  <c r="N97" i="2"/>
  <c r="N98" i="2"/>
  <c r="N99" i="2"/>
  <c r="N96" i="2"/>
  <c r="E96" i="2"/>
  <c r="N87" i="2"/>
  <c r="N88" i="2"/>
  <c r="N89" i="2"/>
  <c r="N86" i="2"/>
  <c r="E86" i="2"/>
  <c r="N9" i="2"/>
  <c r="D36" i="2"/>
  <c r="D37" i="2"/>
  <c r="D38" i="2"/>
  <c r="D39" i="2"/>
  <c r="D44" i="2"/>
  <c r="D45" i="2"/>
  <c r="D46" i="2"/>
  <c r="D47" i="2"/>
  <c r="D48" i="2"/>
  <c r="D57" i="2"/>
  <c r="D58" i="2"/>
  <c r="D59" i="2"/>
  <c r="D68" i="2"/>
  <c r="D69" i="2"/>
  <c r="D70" i="2"/>
  <c r="D79" i="2"/>
  <c r="D80" i="2"/>
  <c r="D81" i="2"/>
  <c r="D90" i="2"/>
  <c r="D91" i="2"/>
  <c r="D92" i="2"/>
  <c r="D93" i="2"/>
  <c r="D94" i="2"/>
  <c r="D101" i="2"/>
  <c r="D102" i="2"/>
  <c r="D103" i="2"/>
  <c r="D104" i="2"/>
  <c r="D105" i="2"/>
  <c r="D106" i="2"/>
  <c r="D107" i="2"/>
  <c r="D132" i="2"/>
  <c r="D133" i="2"/>
  <c r="D134" i="2"/>
  <c r="D159" i="2"/>
  <c r="D160" i="2"/>
  <c r="D161" i="2"/>
  <c r="D162" i="2"/>
  <c r="D166" i="2"/>
  <c r="D167" i="2"/>
  <c r="D168" i="2"/>
  <c r="D169" i="2"/>
  <c r="D170" i="2"/>
  <c r="D177" i="2"/>
  <c r="D178" i="2"/>
  <c r="D179" i="2"/>
  <c r="D186" i="2"/>
  <c r="D187" i="2"/>
  <c r="D188" i="2"/>
  <c r="D195" i="2"/>
  <c r="D196" i="2"/>
  <c r="D197" i="2"/>
  <c r="D204" i="2"/>
  <c r="D205" i="2"/>
  <c r="D206" i="2"/>
  <c r="D213" i="2"/>
  <c r="D214" i="2"/>
  <c r="D215" i="2"/>
  <c r="D216" i="2"/>
  <c r="D223" i="2"/>
  <c r="D15" i="2"/>
  <c r="D16" i="2"/>
  <c r="D17" i="2"/>
  <c r="D18" i="2"/>
  <c r="D19" i="2"/>
  <c r="D20" i="2"/>
  <c r="D21" i="2"/>
  <c r="D22" i="2"/>
  <c r="D28" i="2"/>
  <c r="D29" i="2"/>
  <c r="D30" i="2"/>
  <c r="D31" i="2"/>
  <c r="I14" i="2"/>
  <c r="I13" i="2"/>
  <c r="I12" i="2"/>
  <c r="D5" i="2"/>
  <c r="D7" i="2" s="1"/>
  <c r="D18" i="29"/>
  <c r="D19" i="29"/>
  <c r="D20" i="29"/>
  <c r="D17" i="29"/>
  <c r="D6" i="2"/>
  <c r="E176" i="2"/>
  <c r="E9" i="2"/>
  <c r="E78" i="2"/>
  <c r="E77" i="2"/>
  <c r="E76" i="2"/>
  <c r="E75" i="2"/>
  <c r="E74" i="2"/>
  <c r="E73" i="2"/>
  <c r="E72" i="2"/>
  <c r="E63" i="2"/>
  <c r="E62" i="2"/>
  <c r="E60" i="2"/>
  <c r="BH2" i="17"/>
  <c r="BG2" i="17"/>
  <c r="BF2" i="17"/>
  <c r="BE2" i="17"/>
  <c r="AW2" i="17"/>
  <c r="AU2" i="17"/>
  <c r="AT2" i="17"/>
  <c r="AS2" i="17"/>
  <c r="AR2" i="17"/>
  <c r="AK2" i="17"/>
  <c r="AJ2" i="17"/>
  <c r="AI2" i="17"/>
  <c r="AH2" i="17"/>
  <c r="E67" i="2"/>
  <c r="E66" i="2"/>
  <c r="E65" i="2"/>
  <c r="E64" i="2"/>
  <c r="E61" i="2"/>
  <c r="AB2" i="17"/>
  <c r="AA2" i="17"/>
  <c r="Z2" i="17"/>
  <c r="Y2" i="17"/>
  <c r="J2" i="17"/>
  <c r="H2" i="17"/>
  <c r="E222" i="2"/>
  <c r="E212" i="2"/>
  <c r="E211" i="2"/>
  <c r="E210" i="2"/>
  <c r="E209" i="2"/>
  <c r="E208" i="2"/>
  <c r="E207" i="2"/>
  <c r="E205" i="2"/>
  <c r="BC2" i="17"/>
  <c r="E196" i="2"/>
  <c r="BB2" i="17" s="1"/>
  <c r="E187" i="2"/>
  <c r="BA2" i="17" s="1"/>
  <c r="E178" i="2"/>
  <c r="AZ2" i="17" s="1"/>
  <c r="E203" i="2"/>
  <c r="E202" i="2"/>
  <c r="E201" i="2"/>
  <c r="E200" i="2"/>
  <c r="E191" i="2"/>
  <c r="E199" i="2"/>
  <c r="E198" i="2"/>
  <c r="E189" i="2"/>
  <c r="E194" i="2"/>
  <c r="E185" i="2"/>
  <c r="E193" i="2"/>
  <c r="E192" i="2"/>
  <c r="E190" i="2"/>
  <c r="E184" i="2"/>
  <c r="E183" i="2"/>
  <c r="E182" i="2"/>
  <c r="E181" i="2"/>
  <c r="E180" i="2"/>
  <c r="E100" i="2"/>
  <c r="D11" i="24"/>
  <c r="D4" i="24"/>
  <c r="E97" i="2"/>
  <c r="E98" i="2"/>
  <c r="E99" i="2"/>
  <c r="E10" i="22"/>
  <c r="E9" i="22"/>
  <c r="E8" i="22"/>
  <c r="E87" i="2"/>
  <c r="E88" i="2"/>
  <c r="E89" i="2"/>
  <c r="D9" i="17"/>
  <c r="L22" i="28"/>
  <c r="K22" i="28"/>
  <c r="J22" i="28"/>
  <c r="I22" i="28"/>
  <c r="S20" i="28"/>
  <c r="R20" i="28"/>
  <c r="Q20" i="28"/>
  <c r="P20" i="28"/>
  <c r="L19" i="28"/>
  <c r="K19" i="28"/>
  <c r="J19" i="28"/>
  <c r="I19" i="28"/>
  <c r="T13" i="28"/>
  <c r="S13" i="28"/>
  <c r="R13" i="28"/>
  <c r="Q13" i="28"/>
  <c r="L11" i="28"/>
  <c r="K11" i="28"/>
  <c r="J11" i="28"/>
  <c r="I11" i="28"/>
  <c r="T8" i="28"/>
  <c r="S8" i="28"/>
  <c r="R8" i="28"/>
  <c r="Q8" i="28"/>
  <c r="L6" i="28"/>
  <c r="K6" i="28"/>
  <c r="J6" i="28"/>
  <c r="I6" i="28"/>
  <c r="J13" i="24"/>
  <c r="I13" i="24"/>
  <c r="H13" i="24"/>
  <c r="G13" i="24"/>
  <c r="D37" i="17"/>
  <c r="D45" i="17"/>
  <c r="D43" i="17"/>
  <c r="D41" i="17"/>
  <c r="D38" i="17"/>
  <c r="D36" i="17"/>
  <c r="D34" i="17"/>
  <c r="D31" i="17"/>
  <c r="D29" i="17"/>
  <c r="D27" i="17"/>
  <c r="D24" i="17"/>
  <c r="D22" i="17"/>
  <c r="D20" i="17"/>
  <c r="D17" i="17"/>
  <c r="D15" i="17"/>
  <c r="D13" i="17"/>
  <c r="D10" i="17"/>
  <c r="D8" i="17"/>
  <c r="D6" i="17"/>
  <c r="S11" i="17"/>
  <c r="I6" i="24"/>
  <c r="J6" i="24"/>
  <c r="K6" i="24"/>
  <c r="L6" i="24"/>
  <c r="D73" i="17"/>
  <c r="D72" i="17"/>
  <c r="D71" i="17"/>
  <c r="D70" i="17"/>
  <c r="D44" i="17"/>
  <c r="D42" i="17"/>
  <c r="D40" i="17"/>
  <c r="D39" i="17"/>
  <c r="I154" i="2"/>
  <c r="I150" i="2"/>
  <c r="I146" i="2"/>
  <c r="I142" i="2"/>
  <c r="D74" i="17"/>
  <c r="D69" i="17"/>
  <c r="D68" i="17"/>
  <c r="D67" i="17"/>
  <c r="D66" i="17"/>
  <c r="D65" i="17"/>
  <c r="D64" i="17"/>
  <c r="D63" i="17"/>
  <c r="D62" i="17"/>
  <c r="D61" i="17"/>
  <c r="D60" i="17"/>
  <c r="D59" i="17"/>
  <c r="D58" i="17"/>
  <c r="D57" i="17"/>
  <c r="D56" i="17"/>
  <c r="D55" i="17"/>
  <c r="D54" i="17"/>
  <c r="D53" i="17"/>
  <c r="D52" i="17"/>
  <c r="D51" i="17"/>
  <c r="D50" i="17"/>
  <c r="D46" i="17"/>
  <c r="D35" i="17"/>
  <c r="D33" i="17"/>
  <c r="D32" i="17"/>
  <c r="D30" i="17"/>
  <c r="D28" i="17"/>
  <c r="D26" i="17"/>
  <c r="D25" i="17"/>
  <c r="D23" i="17"/>
  <c r="D21" i="17"/>
  <c r="D19" i="17"/>
  <c r="D18" i="17"/>
  <c r="D16" i="17"/>
  <c r="D14" i="17"/>
  <c r="D12" i="17"/>
  <c r="D11" i="17"/>
  <c r="D7" i="17"/>
  <c r="D5" i="17"/>
  <c r="D4" i="17"/>
  <c r="G6" i="2"/>
  <c r="H58" i="17" s="1"/>
  <c r="G7" i="2"/>
  <c r="J4" i="17" s="1"/>
  <c r="D8" i="2" l="1"/>
  <c r="K111" i="2"/>
  <c r="K123" i="2"/>
  <c r="G5" i="2"/>
  <c r="E40" i="17" s="1"/>
  <c r="J53" i="17"/>
  <c r="J5" i="17"/>
  <c r="J13" i="17"/>
  <c r="J9" i="17"/>
  <c r="J55" i="17"/>
  <c r="J56" i="17"/>
  <c r="J50" i="17"/>
  <c r="J8" i="17"/>
  <c r="J15" i="17"/>
  <c r="J16" i="17"/>
  <c r="J7" i="17"/>
  <c r="J54" i="17"/>
  <c r="J11" i="17"/>
  <c r="J6" i="17"/>
  <c r="J17" i="17"/>
  <c r="J10" i="17"/>
  <c r="J52" i="17"/>
  <c r="J12" i="17"/>
  <c r="J57" i="17"/>
  <c r="J51" i="17"/>
  <c r="J14" i="17"/>
  <c r="H57" i="17"/>
  <c r="J119" i="2"/>
  <c r="J111" i="2"/>
  <c r="J123" i="2"/>
  <c r="J127" i="2"/>
  <c r="J131" i="2"/>
  <c r="J115" i="2"/>
  <c r="K131" i="2"/>
  <c r="H27" i="17"/>
  <c r="H63" i="17"/>
  <c r="H56" i="17"/>
  <c r="H11" i="17"/>
  <c r="H7" i="17"/>
  <c r="H74" i="17"/>
  <c r="Q74" i="17" s="1"/>
  <c r="H17" i="17"/>
  <c r="H45" i="17"/>
  <c r="H13" i="17"/>
  <c r="H4" i="17"/>
  <c r="H14" i="17"/>
  <c r="H9" i="17"/>
  <c r="H5" i="17"/>
  <c r="H40" i="17"/>
  <c r="H39" i="17"/>
  <c r="H19" i="17"/>
  <c r="H32" i="17"/>
  <c r="H42" i="17"/>
  <c r="H18" i="17"/>
  <c r="H20" i="17"/>
  <c r="H51" i="17"/>
  <c r="H44" i="17"/>
  <c r="H28" i="17"/>
  <c r="H71" i="17"/>
  <c r="H37" i="17"/>
  <c r="H70" i="17"/>
  <c r="H34" i="17"/>
  <c r="H55" i="17"/>
  <c r="H33" i="17"/>
  <c r="H73" i="17"/>
  <c r="H10" i="17"/>
  <c r="H64" i="17"/>
  <c r="H52" i="17"/>
  <c r="H60" i="17"/>
  <c r="H16" i="17"/>
  <c r="H50" i="17"/>
  <c r="H72" i="17"/>
  <c r="H31" i="17"/>
  <c r="H54" i="17"/>
  <c r="H15" i="17"/>
  <c r="H53" i="17"/>
  <c r="H43" i="17"/>
  <c r="H67" i="17"/>
  <c r="H36" i="17"/>
  <c r="H66" i="17"/>
  <c r="H46" i="17"/>
  <c r="Q46" i="17" s="1"/>
  <c r="H69" i="17"/>
  <c r="H68" i="17"/>
  <c r="H35" i="17"/>
  <c r="H65" i="17"/>
  <c r="H6" i="17"/>
  <c r="H21" i="17"/>
  <c r="H8" i="17"/>
  <c r="H38" i="17"/>
  <c r="H62" i="17"/>
  <c r="H22" i="17"/>
  <c r="H29" i="17"/>
  <c r="H12" i="17"/>
  <c r="H30" i="17"/>
  <c r="H59" i="17"/>
  <c r="H26" i="17"/>
  <c r="H25" i="17"/>
  <c r="H24" i="17"/>
  <c r="H23" i="17"/>
  <c r="H61" i="17"/>
  <c r="H41" i="17"/>
  <c r="E9" i="17" l="1"/>
  <c r="E4" i="17"/>
  <c r="E56" i="17"/>
  <c r="E14" i="17"/>
  <c r="E54" i="17"/>
  <c r="E13" i="17"/>
  <c r="E33" i="17"/>
  <c r="E43" i="17"/>
  <c r="E69" i="17"/>
  <c r="E36" i="17"/>
  <c r="E74" i="17"/>
  <c r="AM74" i="17" s="1"/>
  <c r="E34" i="17"/>
  <c r="E67" i="17"/>
  <c r="E62" i="17"/>
  <c r="E41" i="17"/>
  <c r="E68" i="17"/>
  <c r="E26" i="17"/>
  <c r="E72" i="17"/>
  <c r="E27" i="17"/>
  <c r="E70" i="17"/>
  <c r="E12" i="17"/>
  <c r="E60" i="17"/>
  <c r="E24" i="17"/>
  <c r="E57" i="17"/>
  <c r="E29" i="17"/>
  <c r="E38" i="17"/>
  <c r="E58" i="17"/>
  <c r="E22" i="17"/>
  <c r="E20" i="17"/>
  <c r="E6" i="17"/>
  <c r="E15" i="17"/>
  <c r="E39" i="17"/>
  <c r="E21" i="17"/>
  <c r="E31" i="17"/>
  <c r="E32" i="17"/>
  <c r="E28" i="17"/>
  <c r="E35" i="17"/>
  <c r="E37" i="17"/>
  <c r="E71" i="17"/>
  <c r="E16" i="17"/>
  <c r="E66" i="17"/>
  <c r="E8" i="17"/>
  <c r="E11" i="17"/>
  <c r="E10" i="17"/>
  <c r="E52" i="17"/>
  <c r="E17" i="17"/>
  <c r="E65" i="17"/>
  <c r="E64" i="17"/>
  <c r="E7" i="17"/>
  <c r="E73" i="17"/>
  <c r="E44" i="17"/>
  <c r="E45" i="17"/>
  <c r="E51" i="17"/>
  <c r="E5" i="17"/>
  <c r="E23" i="17"/>
  <c r="E46" i="17"/>
  <c r="AM46" i="17" s="1"/>
  <c r="E53" i="17"/>
  <c r="E30" i="17"/>
  <c r="E18" i="17"/>
  <c r="E25" i="17"/>
  <c r="E61" i="17"/>
  <c r="E50" i="17"/>
  <c r="E63" i="17"/>
  <c r="E42" i="17"/>
  <c r="E19" i="17"/>
  <c r="E59" i="17"/>
  <c r="E55" i="17"/>
  <c r="G8" i="2"/>
  <c r="D9" i="2"/>
  <c r="D11" i="2" l="1"/>
  <c r="G11" i="2" s="1"/>
  <c r="G9" i="2"/>
  <c r="G16" i="2" s="1"/>
  <c r="D10" i="2"/>
  <c r="J30" i="17"/>
  <c r="J59" i="17"/>
  <c r="J25" i="17"/>
  <c r="J36" i="17"/>
  <c r="J60" i="17"/>
  <c r="J26" i="17"/>
  <c r="J24" i="17"/>
  <c r="J37" i="17"/>
  <c r="J69" i="17"/>
  <c r="J29" i="17"/>
  <c r="J64" i="17"/>
  <c r="J20" i="17"/>
  <c r="J23" i="17"/>
  <c r="J38" i="17"/>
  <c r="J58" i="17"/>
  <c r="J19" i="17"/>
  <c r="J35" i="17"/>
  <c r="J61" i="17"/>
  <c r="J63" i="17"/>
  <c r="J34" i="17"/>
  <c r="J33" i="17"/>
  <c r="J21" i="17"/>
  <c r="J18" i="17"/>
  <c r="J66" i="17"/>
  <c r="J67" i="17"/>
  <c r="J65" i="17"/>
  <c r="J31" i="17"/>
  <c r="J68" i="17"/>
  <c r="J27" i="17"/>
  <c r="J28" i="17"/>
  <c r="J22" i="17"/>
  <c r="J62" i="17"/>
  <c r="J32" i="17"/>
  <c r="G10" i="2" l="1"/>
  <c r="J70" i="17"/>
  <c r="J71" i="17"/>
  <c r="J43" i="17"/>
  <c r="J39" i="17"/>
  <c r="J45" i="17"/>
  <c r="J40" i="17"/>
  <c r="J42" i="17"/>
  <c r="J41" i="17"/>
  <c r="J72" i="17"/>
  <c r="J44" i="17"/>
  <c r="J73" i="17"/>
  <c r="D12" i="2"/>
  <c r="L57" i="17"/>
  <c r="L12" i="17"/>
  <c r="L14" i="17"/>
  <c r="L56" i="17"/>
  <c r="L17" i="17"/>
  <c r="L16" i="17"/>
  <c r="L54" i="17"/>
  <c r="L55" i="17"/>
  <c r="L15" i="17"/>
  <c r="L13" i="17"/>
  <c r="L11" i="17"/>
  <c r="D13" i="2" l="1"/>
  <c r="L7" i="17"/>
  <c r="L10" i="17"/>
  <c r="L50" i="17"/>
  <c r="L5" i="17"/>
  <c r="L8" i="17"/>
  <c r="G17" i="2"/>
  <c r="L4" i="17"/>
  <c r="L52" i="17"/>
  <c r="L9" i="17"/>
  <c r="L53" i="17"/>
  <c r="L6" i="17"/>
  <c r="L51" i="17"/>
  <c r="G12" i="2"/>
  <c r="L21" i="17" l="1"/>
  <c r="L20" i="17"/>
  <c r="L24" i="17"/>
  <c r="L18" i="17"/>
  <c r="L60" i="17"/>
  <c r="L22" i="17"/>
  <c r="L19" i="17"/>
  <c r="L23" i="17"/>
  <c r="L59" i="17"/>
  <c r="L61" i="17"/>
  <c r="L58" i="17"/>
  <c r="G13" i="2"/>
  <c r="D14" i="2"/>
  <c r="G14" i="2" l="1"/>
  <c r="D23" i="2"/>
  <c r="L26" i="17"/>
  <c r="L64" i="17"/>
  <c r="L63" i="17"/>
  <c r="L30" i="17"/>
  <c r="L27" i="17"/>
  <c r="L29" i="17"/>
  <c r="L28" i="17"/>
  <c r="L62" i="17"/>
  <c r="L65" i="17"/>
  <c r="L31" i="17"/>
  <c r="L25" i="17"/>
  <c r="L67" i="17" l="1"/>
  <c r="L35" i="17"/>
  <c r="L68" i="17"/>
  <c r="L38" i="17"/>
  <c r="L66" i="17"/>
  <c r="L69" i="17"/>
  <c r="L37" i="17"/>
  <c r="L32" i="17"/>
  <c r="L34" i="17"/>
  <c r="L36" i="17"/>
  <c r="L33" i="17"/>
  <c r="G18" i="2"/>
  <c r="G23" i="2"/>
  <c r="D24" i="2"/>
  <c r="G24" i="2" l="1"/>
  <c r="D25" i="2"/>
  <c r="I112" i="2"/>
  <c r="I108" i="2"/>
  <c r="I120" i="2"/>
  <c r="I128" i="2"/>
  <c r="I124" i="2"/>
  <c r="I116" i="2"/>
  <c r="G25" i="2" l="1"/>
  <c r="D26" i="2"/>
  <c r="I109" i="2"/>
  <c r="I117" i="2"/>
  <c r="I129" i="2"/>
  <c r="I113" i="2"/>
  <c r="I125" i="2"/>
  <c r="I121" i="2"/>
  <c r="I122" i="2" l="1"/>
  <c r="I110" i="2"/>
  <c r="I114" i="2"/>
  <c r="I130" i="2"/>
  <c r="I126" i="2"/>
  <c r="I118" i="2"/>
  <c r="G26" i="2"/>
  <c r="G28" i="2" s="1"/>
  <c r="D27" i="2"/>
  <c r="G27" i="2" l="1"/>
  <c r="D32" i="2"/>
  <c r="I127" i="2"/>
  <c r="I115" i="2"/>
  <c r="I119" i="2"/>
  <c r="I123" i="2"/>
  <c r="I111" i="2"/>
  <c r="I131" i="2"/>
  <c r="G32" i="2" l="1"/>
  <c r="D33" i="2"/>
  <c r="G33" i="2" l="1"/>
  <c r="D34" i="2"/>
  <c r="I222" i="2"/>
  <c r="I221" i="2"/>
  <c r="I218" i="2"/>
  <c r="I220" i="2"/>
  <c r="I219" i="2"/>
  <c r="I217" i="2"/>
  <c r="G34" i="2" l="1"/>
  <c r="D35" i="2"/>
  <c r="S26" i="17"/>
  <c r="S12" i="17"/>
  <c r="S5" i="17"/>
  <c r="S33" i="17"/>
  <c r="S19" i="17"/>
  <c r="S40" i="17"/>
  <c r="S14" i="17" l="1"/>
  <c r="S7" i="17"/>
  <c r="S28" i="17"/>
  <c r="S21" i="17"/>
  <c r="S42" i="17"/>
  <c r="S35" i="17"/>
  <c r="G35" i="2"/>
  <c r="D40" i="2"/>
  <c r="S9" i="17" l="1"/>
  <c r="S37" i="17"/>
  <c r="S16" i="17"/>
  <c r="S30" i="17"/>
  <c r="S23" i="17"/>
  <c r="S44" i="17"/>
  <c r="G40" i="2"/>
  <c r="D41" i="2"/>
  <c r="S47" i="17" l="1"/>
  <c r="G41" i="2"/>
  <c r="D42" i="2"/>
  <c r="G42" i="2" l="1"/>
  <c r="D43" i="2"/>
  <c r="G43" i="2" l="1"/>
  <c r="D49" i="2"/>
  <c r="G49" i="2" l="1"/>
  <c r="D50" i="2"/>
  <c r="G50" i="2" l="1"/>
  <c r="U27" i="17" s="1"/>
  <c r="D51" i="2"/>
  <c r="U39" i="17"/>
  <c r="U35" i="17"/>
  <c r="U4" i="17"/>
  <c r="U66" i="17"/>
  <c r="U70" i="17"/>
  <c r="U11" i="17"/>
  <c r="U58" i="17"/>
  <c r="U5" i="17"/>
  <c r="U12" i="17"/>
  <c r="U62" i="17"/>
  <c r="U9" i="17"/>
  <c r="U40" i="17"/>
  <c r="U50" i="17"/>
  <c r="U19" i="17"/>
  <c r="U16" i="17"/>
  <c r="U28" i="17"/>
  <c r="U33" i="17"/>
  <c r="U18" i="17"/>
  <c r="U25" i="17"/>
  <c r="U7" i="17"/>
  <c r="U44" i="17"/>
  <c r="U32" i="17"/>
  <c r="U30" i="17"/>
  <c r="U54" i="17"/>
  <c r="U37" i="17"/>
  <c r="U21" i="17"/>
  <c r="U26" i="17"/>
  <c r="U42" i="17"/>
  <c r="U14" i="17"/>
  <c r="U23" i="17"/>
  <c r="U71" i="17" l="1"/>
  <c r="U67" i="17"/>
  <c r="U15" i="17"/>
  <c r="U72" i="17"/>
  <c r="U13" i="17"/>
  <c r="U29" i="17"/>
  <c r="U59" i="17"/>
  <c r="U60" i="17"/>
  <c r="U6" i="17"/>
  <c r="U51" i="17"/>
  <c r="U43" i="17"/>
  <c r="U34" i="17"/>
  <c r="U20" i="17"/>
  <c r="U41" i="17"/>
  <c r="U64" i="17"/>
  <c r="U63" i="17"/>
  <c r="U8" i="17"/>
  <c r="U22" i="17"/>
  <c r="U52" i="17"/>
  <c r="U56" i="17"/>
  <c r="U55" i="17"/>
  <c r="U68" i="17"/>
  <c r="U36" i="17"/>
  <c r="G51" i="2"/>
  <c r="D52" i="2"/>
  <c r="U38" i="17"/>
  <c r="U17" i="17"/>
  <c r="U73" i="17"/>
  <c r="U61" i="17"/>
  <c r="U46" i="17"/>
  <c r="AD46" i="17" s="1"/>
  <c r="AN46" i="17" s="1"/>
  <c r="U65" i="17"/>
  <c r="U69" i="17"/>
  <c r="U57" i="17"/>
  <c r="U53" i="17"/>
  <c r="U24" i="17"/>
  <c r="U74" i="17"/>
  <c r="AD74" i="17" s="1"/>
  <c r="AN74" i="17" s="1"/>
  <c r="U31" i="17"/>
  <c r="U45" i="17"/>
  <c r="U10" i="17"/>
  <c r="G52" i="2" l="1"/>
  <c r="V8" i="17" s="1"/>
  <c r="D53" i="2"/>
  <c r="V70" i="17"/>
  <c r="V4" i="17"/>
  <c r="V33" i="17"/>
  <c r="V12" i="17"/>
  <c r="V62" i="17"/>
  <c r="V7" i="17"/>
  <c r="V37" i="17"/>
  <c r="V54" i="17"/>
  <c r="V16" i="17"/>
  <c r="V26" i="17"/>
  <c r="V40" i="17"/>
  <c r="V32" i="17"/>
  <c r="V19" i="17"/>
  <c r="V21" i="17"/>
  <c r="V9" i="17"/>
  <c r="V44" i="17"/>
  <c r="V58" i="17"/>
  <c r="V25" i="17"/>
  <c r="V50" i="17"/>
  <c r="V42" i="17"/>
  <c r="V28" i="17"/>
  <c r="V23" i="17"/>
  <c r="V5" i="17"/>
  <c r="V11" i="17"/>
  <c r="V66" i="17"/>
  <c r="V39" i="17"/>
  <c r="V35" i="17"/>
  <c r="V14" i="17"/>
  <c r="V30" i="17"/>
  <c r="V18" i="17"/>
  <c r="U47" i="17"/>
  <c r="V68" i="17" l="1"/>
  <c r="V27" i="17"/>
  <c r="V22" i="17"/>
  <c r="V52" i="17"/>
  <c r="V64" i="17"/>
  <c r="V20" i="17"/>
  <c r="V51" i="17"/>
  <c r="V36" i="17"/>
  <c r="V6" i="17"/>
  <c r="V29" i="17"/>
  <c r="V15" i="17"/>
  <c r="V59" i="17"/>
  <c r="V71" i="17"/>
  <c r="V41" i="17"/>
  <c r="V34" i="17"/>
  <c r="V43" i="17"/>
  <c r="V55" i="17"/>
  <c r="V67" i="17"/>
  <c r="V13" i="17"/>
  <c r="V72" i="17"/>
  <c r="V63" i="17"/>
  <c r="G53" i="2"/>
  <c r="D54" i="2"/>
  <c r="V69" i="17"/>
  <c r="V10" i="17"/>
  <c r="V73" i="17"/>
  <c r="V31" i="17"/>
  <c r="V38" i="17"/>
  <c r="V45" i="17"/>
  <c r="V65" i="17"/>
  <c r="V74" i="17"/>
  <c r="AE74" i="17" s="1"/>
  <c r="AO74" i="17" s="1"/>
  <c r="V61" i="17"/>
  <c r="V17" i="17"/>
  <c r="V57" i="17"/>
  <c r="V53" i="17"/>
  <c r="V46" i="17"/>
  <c r="AE46" i="17" s="1"/>
  <c r="AO46" i="17" s="1"/>
  <c r="V24" i="17"/>
  <c r="V60" i="17"/>
  <c r="V56" i="17"/>
  <c r="G54" i="2" l="1"/>
  <c r="W52" i="17" s="1"/>
  <c r="D55" i="2"/>
  <c r="V47" i="17"/>
  <c r="W32" i="17"/>
  <c r="W37" i="17"/>
  <c r="W26" i="17"/>
  <c r="W25" i="17"/>
  <c r="W28" i="17"/>
  <c r="W58" i="17"/>
  <c r="W30" i="17"/>
  <c r="W54" i="17"/>
  <c r="W66" i="17"/>
  <c r="W23" i="17"/>
  <c r="W12" i="17"/>
  <c r="W14" i="17"/>
  <c r="W39" i="17"/>
  <c r="W44" i="17"/>
  <c r="W7" i="17"/>
  <c r="W70" i="17"/>
  <c r="W9" i="17"/>
  <c r="W50" i="17"/>
  <c r="W5" i="17"/>
  <c r="W40" i="17"/>
  <c r="W4" i="17"/>
  <c r="W42" i="17"/>
  <c r="W11" i="17"/>
  <c r="W33" i="17"/>
  <c r="W62" i="17"/>
  <c r="W19" i="17"/>
  <c r="W21" i="17"/>
  <c r="W35" i="17"/>
  <c r="W18" i="17"/>
  <c r="W16" i="17"/>
  <c r="W68" i="17" l="1"/>
  <c r="W15" i="17"/>
  <c r="W29" i="17"/>
  <c r="W64" i="17"/>
  <c r="W60" i="17"/>
  <c r="W63" i="17"/>
  <c r="W41" i="17"/>
  <c r="W67" i="17"/>
  <c r="W8" i="17"/>
  <c r="W71" i="17"/>
  <c r="W22" i="17"/>
  <c r="W36" i="17"/>
  <c r="W72" i="17"/>
  <c r="W20" i="17"/>
  <c r="W56" i="17"/>
  <c r="W59" i="17"/>
  <c r="W34" i="17"/>
  <c r="G55" i="2"/>
  <c r="D56" i="2"/>
  <c r="W57" i="17"/>
  <c r="W53" i="17"/>
  <c r="W45" i="17"/>
  <c r="W65" i="17"/>
  <c r="W31" i="17"/>
  <c r="W38" i="17"/>
  <c r="W73" i="17"/>
  <c r="W24" i="17"/>
  <c r="W17" i="17"/>
  <c r="W74" i="17"/>
  <c r="AF74" i="17" s="1"/>
  <c r="AP74" i="17" s="1"/>
  <c r="W10" i="17"/>
  <c r="W46" i="17"/>
  <c r="AF46" i="17" s="1"/>
  <c r="AP46" i="17" s="1"/>
  <c r="W69" i="17"/>
  <c r="W61" i="17"/>
  <c r="W51" i="17"/>
  <c r="W13" i="17"/>
  <c r="W6" i="17"/>
  <c r="W43" i="17"/>
  <c r="W55" i="17"/>
  <c r="W27" i="17"/>
  <c r="G56" i="2" l="1"/>
  <c r="X43" i="17" s="1"/>
  <c r="D60" i="2"/>
  <c r="X25" i="17"/>
  <c r="X5" i="17"/>
  <c r="X40" i="17"/>
  <c r="X23" i="17"/>
  <c r="X32" i="17"/>
  <c r="X9" i="17"/>
  <c r="X28" i="17"/>
  <c r="X16" i="17"/>
  <c r="X70" i="17"/>
  <c r="X37" i="17"/>
  <c r="X33" i="17"/>
  <c r="X26" i="17"/>
  <c r="X30" i="17"/>
  <c r="X19" i="17"/>
  <c r="X21" i="17"/>
  <c r="X4" i="17"/>
  <c r="X54" i="17"/>
  <c r="X14" i="17"/>
  <c r="X7" i="17"/>
  <c r="X42" i="17"/>
  <c r="X58" i="17"/>
  <c r="X11" i="17"/>
  <c r="X12" i="17"/>
  <c r="X35" i="17"/>
  <c r="X66" i="17"/>
  <c r="X18" i="17"/>
  <c r="X50" i="17"/>
  <c r="X62" i="17"/>
  <c r="X44" i="17"/>
  <c r="X39" i="17"/>
  <c r="W47" i="17"/>
  <c r="X55" i="17" l="1"/>
  <c r="X68" i="17"/>
  <c r="X51" i="17"/>
  <c r="X56" i="17"/>
  <c r="X63" i="17"/>
  <c r="X36" i="17"/>
  <c r="X71" i="17"/>
  <c r="X29" i="17"/>
  <c r="X20" i="17"/>
  <c r="X64" i="17"/>
  <c r="X27" i="17"/>
  <c r="X67" i="17"/>
  <c r="X15" i="17"/>
  <c r="X72" i="17"/>
  <c r="X8" i="17"/>
  <c r="X59" i="17"/>
  <c r="X34" i="17"/>
  <c r="X52" i="17"/>
  <c r="X13" i="17"/>
  <c r="X6" i="17"/>
  <c r="X60" i="17"/>
  <c r="X22" i="17"/>
  <c r="G60" i="2"/>
  <c r="D61" i="2"/>
  <c r="X17" i="17"/>
  <c r="X24" i="17"/>
  <c r="X46" i="17"/>
  <c r="AG46" i="17" s="1"/>
  <c r="AQ46" i="17" s="1"/>
  <c r="X69" i="17"/>
  <c r="X45" i="17"/>
  <c r="X74" i="17"/>
  <c r="AG74" i="17" s="1"/>
  <c r="AQ74" i="17" s="1"/>
  <c r="X31" i="17"/>
  <c r="X57" i="17"/>
  <c r="X65" i="17"/>
  <c r="X73" i="17"/>
  <c r="X10" i="17"/>
  <c r="X38" i="17"/>
  <c r="X53" i="17"/>
  <c r="X61" i="17"/>
  <c r="X41" i="17"/>
  <c r="X47" i="17" l="1"/>
  <c r="G61" i="2"/>
  <c r="Y8" i="17" s="1"/>
  <c r="D62" i="2"/>
  <c r="Y58" i="17"/>
  <c r="Y33" i="17"/>
  <c r="Y21" i="17"/>
  <c r="Y50" i="17"/>
  <c r="Y18" i="17"/>
  <c r="Y35" i="17"/>
  <c r="Y66" i="17"/>
  <c r="Y12" i="17"/>
  <c r="Y37" i="17"/>
  <c r="Y7" i="17"/>
  <c r="Y16" i="17"/>
  <c r="Y26" i="17"/>
  <c r="Y14" i="17"/>
  <c r="Y28" i="17"/>
  <c r="Y11" i="17"/>
  <c r="Y70" i="17"/>
  <c r="Y40" i="17"/>
  <c r="Y30" i="17"/>
  <c r="Y9" i="17"/>
  <c r="Y62" i="17"/>
  <c r="Y44" i="17"/>
  <c r="Y19" i="17"/>
  <c r="Y5" i="17"/>
  <c r="Y42" i="17"/>
  <c r="Y39" i="17"/>
  <c r="Y4" i="17"/>
  <c r="Y23" i="17"/>
  <c r="Y54" i="17"/>
  <c r="Y32" i="17"/>
  <c r="Y25" i="17"/>
  <c r="Y51" i="17" l="1"/>
  <c r="Y29" i="17"/>
  <c r="Y59" i="17"/>
  <c r="Y68" i="17"/>
  <c r="Y52" i="17"/>
  <c r="Y6" i="17"/>
  <c r="Y64" i="17"/>
  <c r="Y20" i="17"/>
  <c r="Y63" i="17"/>
  <c r="Y55" i="17"/>
  <c r="Y60" i="17"/>
  <c r="Y13" i="17"/>
  <c r="Y41" i="17"/>
  <c r="Y27" i="17"/>
  <c r="Y36" i="17"/>
  <c r="Y67" i="17"/>
  <c r="Y72" i="17"/>
  <c r="Y34" i="17"/>
  <c r="Y56" i="17"/>
  <c r="Y43" i="17"/>
  <c r="Y15" i="17"/>
  <c r="Y22" i="17"/>
  <c r="Y71" i="17"/>
  <c r="G62" i="2"/>
  <c r="D63" i="2"/>
  <c r="Y73" i="17"/>
  <c r="Y31" i="17"/>
  <c r="Y65" i="17"/>
  <c r="Y24" i="17"/>
  <c r="Y17" i="17"/>
  <c r="Y10" i="17"/>
  <c r="Y61" i="17"/>
  <c r="Y46" i="17"/>
  <c r="AH46" i="17" s="1"/>
  <c r="AR46" i="17" s="1"/>
  <c r="Y53" i="17"/>
  <c r="Y45" i="17"/>
  <c r="Y38" i="17"/>
  <c r="Y57" i="17"/>
  <c r="Y74" i="17"/>
  <c r="AH74" i="17" s="1"/>
  <c r="AR74" i="17" s="1"/>
  <c r="Y69" i="17"/>
  <c r="Y47" i="17" l="1"/>
  <c r="G63" i="2"/>
  <c r="Z68" i="17" s="1"/>
  <c r="D64" i="2"/>
  <c r="Z58" i="17"/>
  <c r="Z7" i="17"/>
  <c r="Z54" i="17"/>
  <c r="Z70" i="17"/>
  <c r="Z12" i="17"/>
  <c r="Z26" i="17"/>
  <c r="Z44" i="17"/>
  <c r="Z62" i="17"/>
  <c r="Z5" i="17"/>
  <c r="Z11" i="17"/>
  <c r="Z42" i="17"/>
  <c r="Z28" i="17"/>
  <c r="Z39" i="17"/>
  <c r="Z30" i="17"/>
  <c r="Z33" i="17"/>
  <c r="Z14" i="17"/>
  <c r="Z50" i="17"/>
  <c r="Z23" i="17"/>
  <c r="Z9" i="17"/>
  <c r="Z25" i="17"/>
  <c r="Z35" i="17"/>
  <c r="Z32" i="17"/>
  <c r="Z18" i="17"/>
  <c r="Z16" i="17"/>
  <c r="Z21" i="17"/>
  <c r="Z66" i="17"/>
  <c r="Z40" i="17"/>
  <c r="Z37" i="17"/>
  <c r="Z19" i="17"/>
  <c r="Z4" i="17"/>
  <c r="Z51" i="17" l="1"/>
  <c r="Z55" i="17"/>
  <c r="Z63" i="17"/>
  <c r="Z34" i="17"/>
  <c r="Z6" i="17"/>
  <c r="Z43" i="17"/>
  <c r="Z41" i="17"/>
  <c r="Z71" i="17"/>
  <c r="Z60" i="17"/>
  <c r="Z27" i="17"/>
  <c r="Z15" i="17"/>
  <c r="Z67" i="17"/>
  <c r="Z59" i="17"/>
  <c r="Z52" i="17"/>
  <c r="Z72" i="17"/>
  <c r="Z8" i="17"/>
  <c r="Z20" i="17"/>
  <c r="Z56" i="17"/>
  <c r="Z64" i="17"/>
  <c r="Z36" i="17"/>
  <c r="Z22" i="17"/>
  <c r="Z29" i="17"/>
  <c r="Z13" i="17"/>
  <c r="G64" i="2"/>
  <c r="D65" i="2"/>
  <c r="Z73" i="17"/>
  <c r="Z46" i="17"/>
  <c r="AI46" i="17" s="1"/>
  <c r="AS46" i="17" s="1"/>
  <c r="Z65" i="17"/>
  <c r="Z45" i="17"/>
  <c r="Z38" i="17"/>
  <c r="Z24" i="17"/>
  <c r="Z10" i="17"/>
  <c r="Z53" i="17"/>
  <c r="Z74" i="17"/>
  <c r="AI74" i="17" s="1"/>
  <c r="AS74" i="17" s="1"/>
  <c r="Z69" i="17"/>
  <c r="Z57" i="17"/>
  <c r="Z61" i="17"/>
  <c r="Z17" i="17"/>
  <c r="Z31" i="17"/>
  <c r="Z47" i="17" l="1"/>
  <c r="AA7" i="17"/>
  <c r="AA16" i="17"/>
  <c r="AA19" i="17"/>
  <c r="AA66" i="17"/>
  <c r="AA50" i="17"/>
  <c r="AA54" i="17"/>
  <c r="AA11" i="17"/>
  <c r="AA21" i="17"/>
  <c r="AA35" i="17"/>
  <c r="AA42" i="17"/>
  <c r="AA28" i="17"/>
  <c r="AA32" i="17"/>
  <c r="AA9" i="17"/>
  <c r="AA30" i="17"/>
  <c r="AA62" i="17"/>
  <c r="AA70" i="17"/>
  <c r="AA18" i="17"/>
  <c r="AA37" i="17"/>
  <c r="AA5" i="17"/>
  <c r="AA44" i="17"/>
  <c r="AA23" i="17"/>
  <c r="AA39" i="17"/>
  <c r="AA12" i="17"/>
  <c r="AA4" i="17"/>
  <c r="AA58" i="17"/>
  <c r="AA25" i="17"/>
  <c r="AA26" i="17"/>
  <c r="AA14" i="17"/>
  <c r="AA40" i="17"/>
  <c r="AA33" i="17"/>
  <c r="G65" i="2"/>
  <c r="AA67" i="17" s="1"/>
  <c r="D66" i="2"/>
  <c r="AA8" i="17" l="1"/>
  <c r="AA52" i="17"/>
  <c r="AA13" i="17"/>
  <c r="AA10" i="17"/>
  <c r="AA38" i="17"/>
  <c r="AA53" i="17"/>
  <c r="AB46" i="17"/>
  <c r="AK46" i="17" s="1"/>
  <c r="AU46" i="17" s="1"/>
  <c r="AA65" i="17"/>
  <c r="AA45" i="17"/>
  <c r="AA69" i="17"/>
  <c r="AA17" i="17"/>
  <c r="AB74" i="17"/>
  <c r="AK74" i="17" s="1"/>
  <c r="AU74" i="17" s="1"/>
  <c r="AA31" i="17"/>
  <c r="AA24" i="17"/>
  <c r="AA46" i="17"/>
  <c r="AJ46" i="17" s="1"/>
  <c r="AT46" i="17" s="1"/>
  <c r="AA73" i="17"/>
  <c r="AA57" i="17"/>
  <c r="AA74" i="17"/>
  <c r="AJ74" i="17" s="1"/>
  <c r="AT74" i="17" s="1"/>
  <c r="AA61" i="17"/>
  <c r="AA64" i="17"/>
  <c r="AA55" i="17"/>
  <c r="AA43" i="17"/>
  <c r="AA6" i="17"/>
  <c r="AA27" i="17"/>
  <c r="AA20" i="17"/>
  <c r="AA56" i="17"/>
  <c r="AA51" i="17"/>
  <c r="AA29" i="17"/>
  <c r="AA36" i="17"/>
  <c r="AA59" i="17"/>
  <c r="AA41" i="17"/>
  <c r="G66" i="2"/>
  <c r="D67" i="2"/>
  <c r="AA22" i="17"/>
  <c r="AA72" i="17"/>
  <c r="AA34" i="17"/>
  <c r="AA63" i="17"/>
  <c r="AA68" i="17"/>
  <c r="AA60" i="17"/>
  <c r="AA71" i="17"/>
  <c r="AA15" i="17"/>
  <c r="AA47" i="17" l="1"/>
  <c r="G67" i="2"/>
  <c r="AB20" i="17" s="1"/>
  <c r="D71" i="2"/>
  <c r="AB12" i="17"/>
  <c r="AB18" i="17"/>
  <c r="AB40" i="17"/>
  <c r="AB44" i="17"/>
  <c r="AB25" i="17"/>
  <c r="AB35" i="17"/>
  <c r="AB7" i="17"/>
  <c r="AB11" i="17"/>
  <c r="AB42" i="17"/>
  <c r="AB21" i="17"/>
  <c r="AB30" i="17"/>
  <c r="AB32" i="17"/>
  <c r="AB50" i="17"/>
  <c r="AB19" i="17"/>
  <c r="AB28" i="17"/>
  <c r="AB62" i="17"/>
  <c r="AB33" i="17"/>
  <c r="AB16" i="17"/>
  <c r="AB23" i="17"/>
  <c r="AB14" i="17"/>
  <c r="AB4" i="17"/>
  <c r="AB9" i="17"/>
  <c r="AB58" i="17"/>
  <c r="AB66" i="17"/>
  <c r="AB70" i="17"/>
  <c r="AB26" i="17"/>
  <c r="AB54" i="17"/>
  <c r="AB37" i="17"/>
  <c r="AB39" i="17"/>
  <c r="AB5" i="17"/>
  <c r="AB55" i="17" l="1"/>
  <c r="AB72" i="17"/>
  <c r="AB67" i="17"/>
  <c r="AB71" i="17"/>
  <c r="AB36" i="17"/>
  <c r="AB51" i="17"/>
  <c r="AB41" i="17"/>
  <c r="AB43" i="17"/>
  <c r="AB29" i="17"/>
  <c r="AB22" i="17"/>
  <c r="AB63" i="17"/>
  <c r="AB68" i="17"/>
  <c r="AB6" i="17"/>
  <c r="AB60" i="17"/>
  <c r="AB59" i="17"/>
  <c r="AB27" i="17"/>
  <c r="AB34" i="17"/>
  <c r="AB64" i="17"/>
  <c r="AB13" i="17"/>
  <c r="AB15" i="17"/>
  <c r="AB56" i="17"/>
  <c r="AB52" i="17"/>
  <c r="AB8" i="17"/>
  <c r="G71" i="2"/>
  <c r="D72" i="2"/>
  <c r="AB61" i="17"/>
  <c r="AB38" i="17"/>
  <c r="AB65" i="17"/>
  <c r="AB10" i="17"/>
  <c r="AB53" i="17"/>
  <c r="AB69" i="17"/>
  <c r="AB24" i="17"/>
  <c r="AB73" i="17"/>
  <c r="AB31" i="17"/>
  <c r="AB57" i="17"/>
  <c r="AB45" i="17"/>
  <c r="AB17" i="17"/>
  <c r="AB47" i="17" l="1"/>
  <c r="G72" i="2"/>
  <c r="D73" i="2"/>
  <c r="G73" i="2" l="1"/>
  <c r="D74" i="2"/>
  <c r="G74" i="2" l="1"/>
  <c r="D75" i="2"/>
  <c r="G75" i="2" l="1"/>
  <c r="D76" i="2"/>
  <c r="G76" i="2" l="1"/>
  <c r="D77" i="2"/>
  <c r="G77" i="2" l="1"/>
  <c r="D78" i="2"/>
  <c r="G78" i="2" l="1"/>
  <c r="D82" i="2"/>
  <c r="D83" i="2" l="1"/>
  <c r="D84" i="2" l="1"/>
  <c r="D85" i="2" l="1"/>
  <c r="D86" i="2" l="1"/>
  <c r="D87" i="2" l="1"/>
  <c r="D88" i="2" l="1"/>
  <c r="D89" i="2" l="1"/>
  <c r="D95" i="2" l="1"/>
  <c r="G95" i="2" l="1"/>
  <c r="D96" i="2"/>
  <c r="G96" i="2" l="1"/>
  <c r="D97" i="2"/>
  <c r="I175" i="2"/>
  <c r="I174" i="2"/>
  <c r="I176" i="2"/>
  <c r="I173" i="2"/>
  <c r="I172" i="2"/>
  <c r="I171" i="2"/>
  <c r="G97" i="2" l="1"/>
  <c r="D98" i="2"/>
  <c r="I183" i="2"/>
  <c r="I184" i="2"/>
  <c r="I180" i="2"/>
  <c r="I181" i="2"/>
  <c r="I185" i="2"/>
  <c r="I182" i="2"/>
  <c r="G98" i="2" l="1"/>
  <c r="D99" i="2"/>
  <c r="I193" i="2"/>
  <c r="I190" i="2"/>
  <c r="I194" i="2"/>
  <c r="I192" i="2"/>
  <c r="I191" i="2"/>
  <c r="I189" i="2"/>
  <c r="G99" i="2" l="1"/>
  <c r="D100" i="2"/>
  <c r="I203" i="2"/>
  <c r="I200" i="2"/>
  <c r="I202" i="2"/>
  <c r="I198" i="2"/>
  <c r="I201" i="2"/>
  <c r="I199" i="2"/>
  <c r="G100" i="2" l="1"/>
  <c r="D108" i="2"/>
  <c r="I210" i="2"/>
  <c r="I211" i="2"/>
  <c r="I209" i="2"/>
  <c r="I207" i="2"/>
  <c r="I212" i="2"/>
  <c r="I208" i="2"/>
  <c r="BG65" i="17" l="1"/>
  <c r="BH72" i="17"/>
  <c r="BH38" i="17"/>
  <c r="BH35" i="17"/>
  <c r="BE23" i="17"/>
  <c r="BH45" i="17"/>
  <c r="BG37" i="17"/>
  <c r="BG4" i="17"/>
  <c r="BG55" i="17"/>
  <c r="BF46" i="17"/>
  <c r="BF51" i="17"/>
  <c r="BF64" i="17"/>
  <c r="BE53" i="17"/>
  <c r="BF11" i="17"/>
  <c r="BE15" i="17"/>
  <c r="BE66" i="17"/>
  <c r="BH59" i="17"/>
  <c r="BH5" i="17"/>
  <c r="BG51" i="17"/>
  <c r="BG16" i="17"/>
  <c r="BG41" i="17"/>
  <c r="BE26" i="17"/>
  <c r="BH25" i="17"/>
  <c r="BG66" i="17"/>
  <c r="BH43" i="17"/>
  <c r="BG70" i="17"/>
  <c r="BG56" i="17"/>
  <c r="BF56" i="17"/>
  <c r="BF22" i="17"/>
  <c r="BF73" i="17"/>
  <c r="BE69" i="17"/>
  <c r="BF26" i="17"/>
  <c r="BE60" i="17"/>
  <c r="BE4" i="17"/>
  <c r="BG38" i="17"/>
  <c r="BG35" i="17"/>
  <c r="BG54" i="17"/>
  <c r="BH13" i="17"/>
  <c r="BG17" i="17"/>
  <c r="BG33" i="17"/>
  <c r="BH58" i="17"/>
  <c r="BF54" i="17"/>
  <c r="BH65" i="17"/>
  <c r="BH29" i="17"/>
  <c r="BF15" i="17"/>
  <c r="BF61" i="17"/>
  <c r="BF72" i="17"/>
  <c r="BE55" i="17"/>
  <c r="BF14" i="17"/>
  <c r="BF33" i="17"/>
  <c r="BE56" i="17"/>
  <c r="BE37" i="17"/>
  <c r="BH55" i="17"/>
  <c r="BG31" i="17"/>
  <c r="BH19" i="17"/>
  <c r="BG18" i="17"/>
  <c r="BG12" i="17"/>
  <c r="BG69" i="17"/>
  <c r="BE5" i="17"/>
  <c r="BH39" i="17"/>
  <c r="BH74" i="17"/>
  <c r="BG21" i="17"/>
  <c r="BF45" i="17"/>
  <c r="BF17" i="17"/>
  <c r="BE73" i="17"/>
  <c r="BF25" i="17"/>
  <c r="BF7" i="17"/>
  <c r="BE22" i="17"/>
  <c r="BE36" i="17"/>
  <c r="BG61" i="17"/>
  <c r="BG45" i="17"/>
  <c r="BH70" i="17"/>
  <c r="BH32" i="17"/>
  <c r="BG58" i="17"/>
  <c r="BG50" i="17"/>
  <c r="BF5" i="17"/>
  <c r="BG73" i="17"/>
  <c r="BH14" i="17"/>
  <c r="BH7" i="17"/>
  <c r="BG42" i="17"/>
  <c r="BF13" i="17"/>
  <c r="BF8" i="17"/>
  <c r="BE64" i="17"/>
  <c r="BF4" i="17"/>
  <c r="BF28" i="17"/>
  <c r="BE21" i="17"/>
  <c r="BE40" i="17"/>
  <c r="BE65" i="17"/>
  <c r="BG9" i="17"/>
  <c r="BH68" i="17"/>
  <c r="BG63" i="17"/>
  <c r="BG20" i="17"/>
  <c r="BF71" i="17"/>
  <c r="BF67" i="17"/>
  <c r="BE20" i="17"/>
  <c r="BF50" i="17"/>
  <c r="BE39" i="17"/>
  <c r="BE33" i="17"/>
  <c r="BE19" i="17"/>
  <c r="BG74" i="17"/>
  <c r="BH60" i="17"/>
  <c r="BG5" i="17"/>
  <c r="BG39" i="17"/>
  <c r="BH61" i="17"/>
  <c r="BF18" i="17"/>
  <c r="BH66" i="17"/>
  <c r="BG11" i="17"/>
  <c r="BG40" i="17"/>
  <c r="BE29" i="17"/>
  <c r="BF41" i="17"/>
  <c r="BF52" i="17"/>
  <c r="BE45" i="17"/>
  <c r="BF32" i="17"/>
  <c r="BE7" i="17"/>
  <c r="BE13" i="17"/>
  <c r="BE67" i="17"/>
  <c r="BH34" i="17"/>
  <c r="BG44" i="17"/>
  <c r="BH57" i="17"/>
  <c r="BH53" i="17"/>
  <c r="BE25" i="17"/>
  <c r="BH4" i="17"/>
  <c r="BH56" i="17"/>
  <c r="BH44" i="17"/>
  <c r="BF23" i="17"/>
  <c r="BG7" i="17"/>
  <c r="BF55" i="17"/>
  <c r="BF57" i="17"/>
  <c r="BF63" i="17"/>
  <c r="BE61" i="17"/>
  <c r="BF19" i="17"/>
  <c r="BE62" i="17"/>
  <c r="BE43" i="17"/>
  <c r="BE63" i="17"/>
  <c r="BG14" i="17"/>
  <c r="BH10" i="17"/>
  <c r="BH28" i="17"/>
  <c r="BG59" i="17"/>
  <c r="BF42" i="17"/>
  <c r="BH67" i="17"/>
  <c r="BH11" i="17"/>
  <c r="BH24" i="17"/>
  <c r="BG8" i="17"/>
  <c r="BH64" i="17"/>
  <c r="BF12" i="17"/>
  <c r="BE38" i="17"/>
  <c r="BF60" i="17"/>
  <c r="BF24" i="17"/>
  <c r="BE24" i="17"/>
  <c r="BF35" i="17"/>
  <c r="BE44" i="17"/>
  <c r="BE68" i="17"/>
  <c r="BE72" i="17"/>
  <c r="BH23" i="17"/>
  <c r="BG68" i="17"/>
  <c r="BH33" i="17"/>
  <c r="BH6" i="17"/>
  <c r="BF70" i="17"/>
  <c r="BF37" i="17"/>
  <c r="BH41" i="17"/>
  <c r="BG6" i="17"/>
  <c r="BH62" i="17"/>
  <c r="BG67" i="17"/>
  <c r="BH73" i="17"/>
  <c r="BH51" i="17"/>
  <c r="BE34" i="17"/>
  <c r="BF10" i="17"/>
  <c r="BF74" i="17"/>
  <c r="BE74" i="17"/>
  <c r="BF9" i="17"/>
  <c r="BE41" i="17"/>
  <c r="BE51" i="17"/>
  <c r="BE28" i="17"/>
  <c r="BH54" i="17"/>
  <c r="BH30" i="17"/>
  <c r="BG10" i="17"/>
  <c r="BF30" i="17"/>
  <c r="BH52" i="17"/>
  <c r="BH18" i="17"/>
  <c r="BG52" i="17"/>
  <c r="BH40" i="17"/>
  <c r="BG22" i="17"/>
  <c r="BH21" i="17"/>
  <c r="BH36" i="17"/>
  <c r="BE52" i="17"/>
  <c r="BF38" i="17"/>
  <c r="BF69" i="17"/>
  <c r="BE17" i="17"/>
  <c r="BF66" i="17"/>
  <c r="BE54" i="17"/>
  <c r="BE70" i="17"/>
  <c r="BF16" i="17"/>
  <c r="BH22" i="17"/>
  <c r="BG19" i="17"/>
  <c r="BH27" i="17"/>
  <c r="BH8" i="17"/>
  <c r="BG57" i="17"/>
  <c r="BG36" i="17"/>
  <c r="BG34" i="17"/>
  <c r="BG30" i="17"/>
  <c r="BH9" i="17"/>
  <c r="BH17" i="17"/>
  <c r="BE6" i="17"/>
  <c r="BF43" i="17"/>
  <c r="BF31" i="17"/>
  <c r="BE31" i="17"/>
  <c r="BF58" i="17"/>
  <c r="BE8" i="17"/>
  <c r="BE11" i="17"/>
  <c r="BH26" i="17"/>
  <c r="BH50" i="17"/>
  <c r="BH69" i="17"/>
  <c r="BG13" i="17"/>
  <c r="BG29" i="17"/>
  <c r="BG25" i="17"/>
  <c r="BG64" i="17"/>
  <c r="BH37" i="17"/>
  <c r="BF6" i="17"/>
  <c r="BF53" i="17"/>
  <c r="BF29" i="17"/>
  <c r="BE59" i="17"/>
  <c r="BF62" i="17"/>
  <c r="BE16" i="17"/>
  <c r="BE58" i="17"/>
  <c r="BG72" i="17"/>
  <c r="BF68" i="17"/>
  <c r="BE9" i="17"/>
  <c r="BH16" i="17"/>
  <c r="BH71" i="17"/>
  <c r="BF34" i="17"/>
  <c r="BG62" i="17"/>
  <c r="BH46" i="17"/>
  <c r="BF36" i="17"/>
  <c r="BH12" i="17"/>
  <c r="BE12" i="17"/>
  <c r="BF40" i="17"/>
  <c r="BE10" i="17"/>
  <c r="BG26" i="17"/>
  <c r="BE46" i="17"/>
  <c r="BG53" i="17"/>
  <c r="BE57" i="17"/>
  <c r="BG71" i="17"/>
  <c r="BF21" i="17"/>
  <c r="BH20" i="17"/>
  <c r="BE35" i="17"/>
  <c r="BG24" i="17"/>
  <c r="BF39" i="17"/>
  <c r="BG28" i="17"/>
  <c r="BF44" i="17"/>
  <c r="BG32" i="17"/>
  <c r="BH42" i="17"/>
  <c r="BE50" i="17"/>
  <c r="BG60" i="17"/>
  <c r="BG23" i="17"/>
  <c r="BE30" i="17"/>
  <c r="BE71" i="17"/>
  <c r="BE32" i="17"/>
  <c r="BE18" i="17"/>
  <c r="BG43" i="17"/>
  <c r="BH63" i="17"/>
  <c r="BF20" i="17"/>
  <c r="BE27" i="17"/>
  <c r="BG46" i="17"/>
  <c r="BH31" i="17"/>
  <c r="BH15" i="17"/>
  <c r="BF59" i="17"/>
  <c r="BE14" i="17"/>
  <c r="BG15" i="17"/>
  <c r="BG27" i="17"/>
  <c r="BF65" i="17"/>
  <c r="BE42" i="17"/>
  <c r="BF27" i="17"/>
  <c r="D109" i="2"/>
  <c r="G108" i="2"/>
  <c r="BH47" i="17" l="1"/>
  <c r="BG47" i="17"/>
  <c r="BF47" i="17"/>
  <c r="BE47" i="17"/>
  <c r="N5" i="17"/>
  <c r="N6" i="17"/>
  <c r="D110" i="2"/>
  <c r="G109" i="2"/>
  <c r="D111" i="2" l="1"/>
  <c r="D112" i="2" s="1"/>
  <c r="G110" i="2"/>
  <c r="H111" i="2" s="1"/>
  <c r="G111" i="2" s="1"/>
  <c r="N7" i="17"/>
  <c r="N8" i="17"/>
  <c r="D113" i="2" l="1"/>
  <c r="G112" i="2"/>
  <c r="N9" i="17"/>
  <c r="N10" i="17"/>
  <c r="N4" i="17"/>
  <c r="D114" i="2" l="1"/>
  <c r="G113" i="2"/>
  <c r="Q4" i="17"/>
  <c r="N13" i="17"/>
  <c r="N12" i="17"/>
  <c r="AG4" i="17" l="1"/>
  <c r="AI4" i="17"/>
  <c r="AF4" i="17"/>
  <c r="AK4" i="17"/>
  <c r="AH4" i="17"/>
  <c r="AE4" i="17"/>
  <c r="AD4" i="17"/>
  <c r="AJ4" i="17"/>
  <c r="AM4" i="17"/>
  <c r="D115" i="2"/>
  <c r="D116" i="2" s="1"/>
  <c r="G114" i="2"/>
  <c r="N15" i="17"/>
  <c r="N14" i="17"/>
  <c r="N16" i="17" l="1"/>
  <c r="N17" i="17"/>
  <c r="H115" i="2"/>
  <c r="G115" i="2" s="1"/>
  <c r="N11" i="17"/>
  <c r="D117" i="2"/>
  <c r="G116" i="2"/>
  <c r="AT4" i="17"/>
  <c r="AN4" i="17"/>
  <c r="AU4" i="17"/>
  <c r="AS4" i="17"/>
  <c r="AQ4" i="17"/>
  <c r="AO4" i="17"/>
  <c r="AR4" i="17"/>
  <c r="AP4" i="17"/>
  <c r="N20" i="17" l="1"/>
  <c r="N19" i="17"/>
  <c r="D118" i="2"/>
  <c r="G117" i="2"/>
  <c r="Q11" i="17"/>
  <c r="AE11" i="17" l="1"/>
  <c r="AO11" i="17" s="1"/>
  <c r="AJ11" i="17"/>
  <c r="AT11" i="17" s="1"/>
  <c r="AD11" i="17"/>
  <c r="AN11" i="17" s="1"/>
  <c r="AG11" i="17"/>
  <c r="AQ11" i="17" s="1"/>
  <c r="AM11" i="17"/>
  <c r="AK11" i="17"/>
  <c r="AU11" i="17" s="1"/>
  <c r="AI11" i="17"/>
  <c r="AS11" i="17" s="1"/>
  <c r="AH11" i="17"/>
  <c r="AR11" i="17" s="1"/>
  <c r="AF11" i="17"/>
  <c r="AP11" i="17" s="1"/>
  <c r="N22" i="17"/>
  <c r="N21" i="17"/>
  <c r="D119" i="2"/>
  <c r="D120" i="2" s="1"/>
  <c r="G118" i="2"/>
  <c r="N18" i="17" s="1"/>
  <c r="Q18" i="17" l="1"/>
  <c r="N23" i="17"/>
  <c r="N24" i="17"/>
  <c r="H119" i="2"/>
  <c r="G119" i="2" s="1"/>
  <c r="D121" i="2"/>
  <c r="G120" i="2"/>
  <c r="N26" i="17" l="1"/>
  <c r="N27" i="17"/>
  <c r="AE18" i="17"/>
  <c r="AO18" i="17" s="1"/>
  <c r="AH18" i="17"/>
  <c r="AR18" i="17" s="1"/>
  <c r="AK18" i="17"/>
  <c r="AU18" i="17" s="1"/>
  <c r="AJ18" i="17"/>
  <c r="AT18" i="17" s="1"/>
  <c r="AD18" i="17"/>
  <c r="AN18" i="17" s="1"/>
  <c r="AI18" i="17"/>
  <c r="AS18" i="17" s="1"/>
  <c r="AM18" i="17"/>
  <c r="AG18" i="17"/>
  <c r="AQ18" i="17" s="1"/>
  <c r="AF18" i="17"/>
  <c r="AP18" i="17" s="1"/>
  <c r="D122" i="2"/>
  <c r="G121" i="2"/>
  <c r="N28" i="17" l="1"/>
  <c r="N29" i="17"/>
  <c r="D123" i="2"/>
  <c r="D124" i="2" s="1"/>
  <c r="G122" i="2"/>
  <c r="N31" i="17" l="1"/>
  <c r="N30" i="17"/>
  <c r="D125" i="2"/>
  <c r="G124" i="2"/>
  <c r="N25" i="17"/>
  <c r="H123" i="2"/>
  <c r="G123" i="2" s="1"/>
  <c r="D126" i="2" l="1"/>
  <c r="G125" i="2"/>
  <c r="Q25" i="17"/>
  <c r="N33" i="17"/>
  <c r="N34" i="17"/>
  <c r="AM25" i="17" l="1"/>
  <c r="AJ25" i="17"/>
  <c r="AT25" i="17" s="1"/>
  <c r="AD25" i="17"/>
  <c r="AN25" i="17" s="1"/>
  <c r="AE25" i="17"/>
  <c r="AO25" i="17" s="1"/>
  <c r="AG25" i="17"/>
  <c r="AQ25" i="17" s="1"/>
  <c r="AH25" i="17"/>
  <c r="AR25" i="17" s="1"/>
  <c r="AF25" i="17"/>
  <c r="AP25" i="17" s="1"/>
  <c r="AK25" i="17"/>
  <c r="AU25" i="17" s="1"/>
  <c r="AI25" i="17"/>
  <c r="AS25" i="17" s="1"/>
  <c r="N36" i="17"/>
  <c r="N35" i="17"/>
  <c r="D127" i="2"/>
  <c r="D128" i="2" s="1"/>
  <c r="G126" i="2"/>
  <c r="N37" i="17" l="1"/>
  <c r="N38" i="17"/>
  <c r="H127" i="2"/>
  <c r="G127" i="2" s="1"/>
  <c r="N32" i="17"/>
  <c r="D129" i="2"/>
  <c r="G128" i="2"/>
  <c r="N40" i="17" l="1"/>
  <c r="N41" i="17"/>
  <c r="Q32" i="17"/>
  <c r="D130" i="2"/>
  <c r="G129" i="2"/>
  <c r="D131" i="2" l="1"/>
  <c r="D135" i="2" s="1"/>
  <c r="G130" i="2"/>
  <c r="N43" i="17"/>
  <c r="N42" i="17"/>
  <c r="AE32" i="17"/>
  <c r="AO32" i="17" s="1"/>
  <c r="AG32" i="17"/>
  <c r="AQ32" i="17" s="1"/>
  <c r="AF32" i="17"/>
  <c r="AP32" i="17" s="1"/>
  <c r="AD32" i="17"/>
  <c r="AN32" i="17" s="1"/>
  <c r="AM32" i="17"/>
  <c r="AK32" i="17"/>
  <c r="AU32" i="17" s="1"/>
  <c r="AH32" i="17"/>
  <c r="AR32" i="17" s="1"/>
  <c r="AI32" i="17"/>
  <c r="AS32" i="17" s="1"/>
  <c r="AJ32" i="17"/>
  <c r="AT32" i="17" s="1"/>
  <c r="N45" i="17" l="1"/>
  <c r="N44" i="17"/>
  <c r="G135" i="2"/>
  <c r="N51" i="17" s="1"/>
  <c r="D136" i="2"/>
  <c r="H131" i="2"/>
  <c r="G131" i="2" s="1"/>
  <c r="N39" i="17"/>
  <c r="Q39" i="17" s="1"/>
  <c r="AI39" i="17" l="1"/>
  <c r="AS39" i="17" s="1"/>
  <c r="AG39" i="17"/>
  <c r="AQ39" i="17" s="1"/>
  <c r="AK39" i="17"/>
  <c r="AU39" i="17" s="1"/>
  <c r="AM39" i="17"/>
  <c r="AE39" i="17"/>
  <c r="AO39" i="17" s="1"/>
  <c r="AD39" i="17"/>
  <c r="AN39" i="17" s="1"/>
  <c r="AJ39" i="17"/>
  <c r="AT39" i="17" s="1"/>
  <c r="AH39" i="17"/>
  <c r="AR39" i="17" s="1"/>
  <c r="AF39" i="17"/>
  <c r="AP39" i="17" s="1"/>
  <c r="Q51" i="17"/>
  <c r="G136" i="2"/>
  <c r="N52" i="17" s="1"/>
  <c r="D137" i="2"/>
  <c r="Q52" i="17" l="1"/>
  <c r="G137" i="2"/>
  <c r="N53" i="17" s="1"/>
  <c r="D138" i="2"/>
  <c r="AD51" i="17"/>
  <c r="AN51" i="17" s="1"/>
  <c r="AM51" i="17"/>
  <c r="AI51" i="17"/>
  <c r="AS51" i="17" s="1"/>
  <c r="AF51" i="17"/>
  <c r="AP51" i="17" s="1"/>
  <c r="AK51" i="17"/>
  <c r="AU51" i="17" s="1"/>
  <c r="AE51" i="17"/>
  <c r="AO51" i="17" s="1"/>
  <c r="AG51" i="17"/>
  <c r="AQ51" i="17" s="1"/>
  <c r="AJ51" i="17"/>
  <c r="AT51" i="17" s="1"/>
  <c r="AH51" i="17"/>
  <c r="AR51" i="17" s="1"/>
  <c r="G138" i="2" l="1"/>
  <c r="N50" i="17" s="1"/>
  <c r="D139" i="2"/>
  <c r="Q53" i="17"/>
  <c r="AJ52" i="17"/>
  <c r="AT52" i="17" s="1"/>
  <c r="AM52" i="17"/>
  <c r="AE52" i="17"/>
  <c r="AO52" i="17" s="1"/>
  <c r="AD52" i="17"/>
  <c r="AN52" i="17" s="1"/>
  <c r="AI52" i="17"/>
  <c r="AS52" i="17" s="1"/>
  <c r="AG52" i="17"/>
  <c r="AQ52" i="17" s="1"/>
  <c r="AH52" i="17"/>
  <c r="AR52" i="17" s="1"/>
  <c r="AF52" i="17"/>
  <c r="AP52" i="17" s="1"/>
  <c r="AK52" i="17"/>
  <c r="AU52" i="17" s="1"/>
  <c r="G139" i="2" l="1"/>
  <c r="N55" i="17" s="1"/>
  <c r="D140" i="2"/>
  <c r="AF53" i="17"/>
  <c r="AP53" i="17" s="1"/>
  <c r="AJ53" i="17"/>
  <c r="AT53" i="17" s="1"/>
  <c r="AK53" i="17"/>
  <c r="AU53" i="17" s="1"/>
  <c r="AD53" i="17"/>
  <c r="AN53" i="17" s="1"/>
  <c r="AI53" i="17"/>
  <c r="AS53" i="17" s="1"/>
  <c r="AM53" i="17"/>
  <c r="AH53" i="17"/>
  <c r="AR53" i="17" s="1"/>
  <c r="AG53" i="17"/>
  <c r="AQ53" i="17" s="1"/>
  <c r="AE53" i="17"/>
  <c r="AO53" i="17" s="1"/>
  <c r="Q50" i="17"/>
  <c r="AK50" i="17" l="1"/>
  <c r="AM50" i="17"/>
  <c r="AE50" i="17"/>
  <c r="AI50" i="17"/>
  <c r="AF50" i="17"/>
  <c r="AJ50" i="17"/>
  <c r="AG50" i="17"/>
  <c r="AH50" i="17"/>
  <c r="AD50" i="17"/>
  <c r="G140" i="2"/>
  <c r="N56" i="17" s="1"/>
  <c r="D141" i="2"/>
  <c r="Q55" i="17"/>
  <c r="G141" i="2" l="1"/>
  <c r="N57" i="17" s="1"/>
  <c r="Q57" i="17" s="1"/>
  <c r="D142" i="2"/>
  <c r="AN50" i="17"/>
  <c r="AD55" i="17"/>
  <c r="AN55" i="17" s="1"/>
  <c r="AM55" i="17"/>
  <c r="AI55" i="17"/>
  <c r="AS55" i="17" s="1"/>
  <c r="AG55" i="17"/>
  <c r="AQ55" i="17" s="1"/>
  <c r="AE55" i="17"/>
  <c r="AO55" i="17" s="1"/>
  <c r="AH55" i="17"/>
  <c r="AR55" i="17" s="1"/>
  <c r="AJ55" i="17"/>
  <c r="AT55" i="17" s="1"/>
  <c r="AF55" i="17"/>
  <c r="AP55" i="17" s="1"/>
  <c r="AK55" i="17"/>
  <c r="AU55" i="17" s="1"/>
  <c r="AP50" i="17"/>
  <c r="Q56" i="17"/>
  <c r="AR50" i="17"/>
  <c r="AQ50" i="17"/>
  <c r="AT50" i="17"/>
  <c r="AS50" i="17"/>
  <c r="AO50" i="17"/>
  <c r="AU50" i="17"/>
  <c r="AK56" i="17" l="1"/>
  <c r="AU56" i="17" s="1"/>
  <c r="AM56" i="17"/>
  <c r="AG56" i="17"/>
  <c r="AQ56" i="17" s="1"/>
  <c r="AF56" i="17"/>
  <c r="AP56" i="17" s="1"/>
  <c r="AE56" i="17"/>
  <c r="AO56" i="17" s="1"/>
  <c r="AJ56" i="17"/>
  <c r="AT56" i="17" s="1"/>
  <c r="AH56" i="17"/>
  <c r="AR56" i="17" s="1"/>
  <c r="AI56" i="17"/>
  <c r="AS56" i="17" s="1"/>
  <c r="AD56" i="17"/>
  <c r="AN56" i="17" s="1"/>
  <c r="G142" i="2"/>
  <c r="N54" i="17" s="1"/>
  <c r="D143" i="2"/>
  <c r="AM57" i="17"/>
  <c r="AE57" i="17"/>
  <c r="AO57" i="17" s="1"/>
  <c r="AI57" i="17"/>
  <c r="AS57" i="17" s="1"/>
  <c r="AF57" i="17"/>
  <c r="AP57" i="17" s="1"/>
  <c r="AG57" i="17"/>
  <c r="AQ57" i="17" s="1"/>
  <c r="AK57" i="17"/>
  <c r="AU57" i="17" s="1"/>
  <c r="AJ57" i="17"/>
  <c r="AT57" i="17" s="1"/>
  <c r="AD57" i="17"/>
  <c r="AN57" i="17" s="1"/>
  <c r="AH57" i="17"/>
  <c r="AR57" i="17" s="1"/>
  <c r="G143" i="2" l="1"/>
  <c r="N59" i="17" s="1"/>
  <c r="D144" i="2"/>
  <c r="Q54" i="17"/>
  <c r="AM54" i="17" l="1"/>
  <c r="AF54" i="17"/>
  <c r="AJ54" i="17"/>
  <c r="AH54" i="17"/>
  <c r="AK54" i="17"/>
  <c r="AD54" i="17"/>
  <c r="AE54" i="17"/>
  <c r="AG54" i="17"/>
  <c r="AI54" i="17"/>
  <c r="G144" i="2"/>
  <c r="N60" i="17" s="1"/>
  <c r="D145" i="2"/>
  <c r="Q59" i="17"/>
  <c r="AE59" i="17" l="1"/>
  <c r="AO59" i="17" s="1"/>
  <c r="AJ59" i="17"/>
  <c r="AT59" i="17" s="1"/>
  <c r="AK59" i="17"/>
  <c r="AU59" i="17" s="1"/>
  <c r="AM59" i="17"/>
  <c r="AD59" i="17"/>
  <c r="AN59" i="17" s="1"/>
  <c r="AH59" i="17"/>
  <c r="AR59" i="17" s="1"/>
  <c r="AI59" i="17"/>
  <c r="AS59" i="17" s="1"/>
  <c r="AF59" i="17"/>
  <c r="AP59" i="17" s="1"/>
  <c r="AG59" i="17"/>
  <c r="AQ59" i="17" s="1"/>
  <c r="G145" i="2"/>
  <c r="N61" i="17" s="1"/>
  <c r="D146" i="2"/>
  <c r="AS54" i="17"/>
  <c r="AR54" i="17"/>
  <c r="AO54" i="17"/>
  <c r="AU54" i="17"/>
  <c r="AT54" i="17"/>
  <c r="AP54" i="17"/>
  <c r="Q60" i="17"/>
  <c r="AQ54" i="17"/>
  <c r="AN54" i="17"/>
  <c r="AH60" i="17" l="1"/>
  <c r="AR60" i="17" s="1"/>
  <c r="AM60" i="17"/>
  <c r="AD60" i="17"/>
  <c r="AN60" i="17" s="1"/>
  <c r="AF60" i="17"/>
  <c r="AP60" i="17" s="1"/>
  <c r="AG60" i="17"/>
  <c r="AQ60" i="17" s="1"/>
  <c r="AE60" i="17"/>
  <c r="AO60" i="17" s="1"/>
  <c r="AK60" i="17"/>
  <c r="AU60" i="17" s="1"/>
  <c r="AJ60" i="17"/>
  <c r="AT60" i="17" s="1"/>
  <c r="AI60" i="17"/>
  <c r="AS60" i="17" s="1"/>
  <c r="Q61" i="17"/>
  <c r="G146" i="2"/>
  <c r="N58" i="17" s="1"/>
  <c r="D147" i="2"/>
  <c r="AJ61" i="17" l="1"/>
  <c r="AT61" i="17" s="1"/>
  <c r="AE61" i="17"/>
  <c r="AO61" i="17" s="1"/>
  <c r="AI61" i="17"/>
  <c r="AS61" i="17" s="1"/>
  <c r="AF61" i="17"/>
  <c r="AP61" i="17" s="1"/>
  <c r="AD61" i="17"/>
  <c r="AN61" i="17" s="1"/>
  <c r="AG61" i="17"/>
  <c r="AQ61" i="17" s="1"/>
  <c r="AH61" i="17"/>
  <c r="AR61" i="17" s="1"/>
  <c r="AM61" i="17"/>
  <c r="AK61" i="17"/>
  <c r="AU61" i="17" s="1"/>
  <c r="G147" i="2"/>
  <c r="N63" i="17" s="1"/>
  <c r="D148" i="2"/>
  <c r="Q58" i="17"/>
  <c r="AF58" i="17" l="1"/>
  <c r="AM58" i="17"/>
  <c r="AG58" i="17"/>
  <c r="AI58" i="17"/>
  <c r="AK58" i="17"/>
  <c r="AH58" i="17"/>
  <c r="AD58" i="17"/>
  <c r="AJ58" i="17"/>
  <c r="AE58" i="17"/>
  <c r="Q63" i="17"/>
  <c r="G148" i="2"/>
  <c r="N64" i="17" s="1"/>
  <c r="D149" i="2"/>
  <c r="G149" i="2" l="1"/>
  <c r="N65" i="17" s="1"/>
  <c r="D150" i="2"/>
  <c r="Q64" i="17"/>
  <c r="AN58" i="17"/>
  <c r="AG63" i="17"/>
  <c r="AQ63" i="17" s="1"/>
  <c r="AD63" i="17"/>
  <c r="AN63" i="17" s="1"/>
  <c r="AI63" i="17"/>
  <c r="AS63" i="17" s="1"/>
  <c r="AE63" i="17"/>
  <c r="AO63" i="17" s="1"/>
  <c r="AJ63" i="17"/>
  <c r="AT63" i="17" s="1"/>
  <c r="AF63" i="17"/>
  <c r="AP63" i="17" s="1"/>
  <c r="AH63" i="17"/>
  <c r="AR63" i="17" s="1"/>
  <c r="AM63" i="17"/>
  <c r="AK63" i="17"/>
  <c r="AU63" i="17" s="1"/>
  <c r="AS58" i="17"/>
  <c r="AO58" i="17"/>
  <c r="AT58" i="17"/>
  <c r="AR58" i="17"/>
  <c r="AU58" i="17"/>
  <c r="AQ58" i="17"/>
  <c r="AP58" i="17"/>
  <c r="AM64" i="17" l="1"/>
  <c r="AH64" i="17"/>
  <c r="AR64" i="17" s="1"/>
  <c r="AJ64" i="17"/>
  <c r="AT64" i="17" s="1"/>
  <c r="AF64" i="17"/>
  <c r="AP64" i="17" s="1"/>
  <c r="AG64" i="17"/>
  <c r="AQ64" i="17" s="1"/>
  <c r="AI64" i="17"/>
  <c r="AS64" i="17" s="1"/>
  <c r="AE64" i="17"/>
  <c r="AO64" i="17" s="1"/>
  <c r="AD64" i="17"/>
  <c r="AN64" i="17" s="1"/>
  <c r="AK64" i="17"/>
  <c r="AU64" i="17" s="1"/>
  <c r="G150" i="2"/>
  <c r="N62" i="17" s="1"/>
  <c r="D151" i="2"/>
  <c r="Q65" i="17"/>
  <c r="AJ65" i="17" l="1"/>
  <c r="AT65" i="17" s="1"/>
  <c r="AM65" i="17"/>
  <c r="AH65" i="17"/>
  <c r="AR65" i="17" s="1"/>
  <c r="AF65" i="17"/>
  <c r="AP65" i="17" s="1"/>
  <c r="AK65" i="17"/>
  <c r="AU65" i="17" s="1"/>
  <c r="AE65" i="17"/>
  <c r="AO65" i="17" s="1"/>
  <c r="AI65" i="17"/>
  <c r="AS65" i="17" s="1"/>
  <c r="AG65" i="17"/>
  <c r="AQ65" i="17" s="1"/>
  <c r="AD65" i="17"/>
  <c r="AN65" i="17" s="1"/>
  <c r="Q62" i="17"/>
  <c r="G151" i="2"/>
  <c r="N67" i="17" s="1"/>
  <c r="D152" i="2"/>
  <c r="AE62" i="17" l="1"/>
  <c r="AF62" i="17"/>
  <c r="AH62" i="17"/>
  <c r="AG62" i="17"/>
  <c r="AI62" i="17"/>
  <c r="AJ62" i="17"/>
  <c r="AM62" i="17"/>
  <c r="AD62" i="17"/>
  <c r="AK62" i="17"/>
  <c r="Q67" i="17"/>
  <c r="G152" i="2"/>
  <c r="N68" i="17" s="1"/>
  <c r="D153" i="2"/>
  <c r="G153" i="2" l="1"/>
  <c r="N69" i="17" s="1"/>
  <c r="D154" i="2"/>
  <c r="AH67" i="17"/>
  <c r="AR67" i="17" s="1"/>
  <c r="AJ67" i="17"/>
  <c r="AT67" i="17" s="1"/>
  <c r="AM67" i="17"/>
  <c r="AF67" i="17"/>
  <c r="AP67" i="17" s="1"/>
  <c r="AG67" i="17"/>
  <c r="AQ67" i="17" s="1"/>
  <c r="AK67" i="17"/>
  <c r="AU67" i="17" s="1"/>
  <c r="AE67" i="17"/>
  <c r="AO67" i="17" s="1"/>
  <c r="AD67" i="17"/>
  <c r="AN67" i="17" s="1"/>
  <c r="AI67" i="17"/>
  <c r="AS67" i="17" s="1"/>
  <c r="Q68" i="17"/>
  <c r="AN62" i="17"/>
  <c r="AU62" i="17"/>
  <c r="AQ62" i="17"/>
  <c r="AT62" i="17"/>
  <c r="AS62" i="17"/>
  <c r="AR62" i="17"/>
  <c r="AP62" i="17"/>
  <c r="AO62" i="17"/>
  <c r="AJ68" i="17" l="1"/>
  <c r="AT68" i="17" s="1"/>
  <c r="AK68" i="17"/>
  <c r="AU68" i="17" s="1"/>
  <c r="AG68" i="17"/>
  <c r="AQ68" i="17" s="1"/>
  <c r="AM68" i="17"/>
  <c r="AI68" i="17"/>
  <c r="AS68" i="17" s="1"/>
  <c r="AF68" i="17"/>
  <c r="AP68" i="17" s="1"/>
  <c r="AH68" i="17"/>
  <c r="AR68" i="17" s="1"/>
  <c r="AE68" i="17"/>
  <c r="AO68" i="17" s="1"/>
  <c r="AD68" i="17"/>
  <c r="AN68" i="17" s="1"/>
  <c r="G154" i="2"/>
  <c r="N66" i="17" s="1"/>
  <c r="Q66" i="17" s="1"/>
  <c r="D155" i="2"/>
  <c r="Q69" i="17"/>
  <c r="AG66" i="17" l="1"/>
  <c r="AJ66" i="17"/>
  <c r="AE66" i="17"/>
  <c r="AM66" i="17"/>
  <c r="AI66" i="17"/>
  <c r="AF66" i="17"/>
  <c r="AD66" i="17"/>
  <c r="AH66" i="17"/>
  <c r="AK66" i="17"/>
  <c r="AF69" i="17"/>
  <c r="AP69" i="17" s="1"/>
  <c r="AK69" i="17"/>
  <c r="AU69" i="17" s="1"/>
  <c r="AI69" i="17"/>
  <c r="AS69" i="17" s="1"/>
  <c r="AE69" i="17"/>
  <c r="AO69" i="17" s="1"/>
  <c r="AH69" i="17"/>
  <c r="AR69" i="17" s="1"/>
  <c r="AJ69" i="17"/>
  <c r="AT69" i="17" s="1"/>
  <c r="AG69" i="17"/>
  <c r="AQ69" i="17" s="1"/>
  <c r="AM69" i="17"/>
  <c r="AD69" i="17"/>
  <c r="AN69" i="17" s="1"/>
  <c r="G155" i="2"/>
  <c r="N71" i="17" s="1"/>
  <c r="Q71" i="17" s="1"/>
  <c r="D156" i="2"/>
  <c r="AR66" i="17" l="1"/>
  <c r="AF71" i="17"/>
  <c r="AP71" i="17" s="1"/>
  <c r="AK71" i="17"/>
  <c r="AU71" i="17" s="1"/>
  <c r="AM71" i="17"/>
  <c r="AE71" i="17"/>
  <c r="AO71" i="17" s="1"/>
  <c r="AI71" i="17"/>
  <c r="AS71" i="17" s="1"/>
  <c r="AD71" i="17"/>
  <c r="AN71" i="17" s="1"/>
  <c r="AG71" i="17"/>
  <c r="AQ71" i="17" s="1"/>
  <c r="AH71" i="17"/>
  <c r="AR71" i="17" s="1"/>
  <c r="AJ71" i="17"/>
  <c r="AT71" i="17" s="1"/>
  <c r="AO66" i="17"/>
  <c r="AT66" i="17"/>
  <c r="G156" i="2"/>
  <c r="N72" i="17" s="1"/>
  <c r="Q72" i="17" s="1"/>
  <c r="D157" i="2"/>
  <c r="AP66" i="17"/>
  <c r="AU66" i="17"/>
  <c r="AN66" i="17"/>
  <c r="AS66" i="17"/>
  <c r="AQ66" i="17"/>
  <c r="G157" i="2" l="1"/>
  <c r="N73" i="17" s="1"/>
  <c r="Q73" i="17" s="1"/>
  <c r="D158" i="2"/>
  <c r="AJ72" i="17"/>
  <c r="AT72" i="17" s="1"/>
  <c r="AF72" i="17"/>
  <c r="AP72" i="17" s="1"/>
  <c r="AG72" i="17"/>
  <c r="AQ72" i="17" s="1"/>
  <c r="AM72" i="17"/>
  <c r="AI72" i="17"/>
  <c r="AS72" i="17" s="1"/>
  <c r="AE72" i="17"/>
  <c r="AO72" i="17" s="1"/>
  <c r="AD72" i="17"/>
  <c r="AN72" i="17" s="1"/>
  <c r="AK72" i="17"/>
  <c r="AU72" i="17" s="1"/>
  <c r="AH72" i="17"/>
  <c r="AR72" i="17" s="1"/>
  <c r="G158" i="2" l="1"/>
  <c r="N70" i="17" s="1"/>
  <c r="Q70" i="17" s="1"/>
  <c r="Q75" i="17" s="1"/>
  <c r="D163" i="2"/>
  <c r="AE73" i="17"/>
  <c r="AI73" i="17"/>
  <c r="AM73" i="17"/>
  <c r="AJ73" i="17"/>
  <c r="AG73" i="17"/>
  <c r="AK73" i="17"/>
  <c r="AH73" i="17"/>
  <c r="AF73" i="17"/>
  <c r="AD73" i="17"/>
  <c r="AU73" i="17" l="1"/>
  <c r="AR73" i="17"/>
  <c r="AQ73" i="17"/>
  <c r="AO73" i="17"/>
  <c r="AN73" i="17"/>
  <c r="D164" i="2"/>
  <c r="AP73" i="17"/>
  <c r="AT73" i="17"/>
  <c r="AS73" i="17"/>
  <c r="AE70" i="17"/>
  <c r="AO70" i="17" s="1"/>
  <c r="AG70" i="17"/>
  <c r="AQ70" i="17" s="1"/>
  <c r="AJ70" i="17"/>
  <c r="AT70" i="17" s="1"/>
  <c r="AF70" i="17"/>
  <c r="AP70" i="17" s="1"/>
  <c r="AH70" i="17"/>
  <c r="AR70" i="17" s="1"/>
  <c r="AD70" i="17"/>
  <c r="AN70" i="17" s="1"/>
  <c r="AI70" i="17"/>
  <c r="AS70" i="17" s="1"/>
  <c r="AK70" i="17"/>
  <c r="AU70" i="17" s="1"/>
  <c r="AM70" i="17"/>
  <c r="AM75" i="17" s="1"/>
  <c r="J8" i="28" l="1"/>
  <c r="E13" i="28"/>
  <c r="E24" i="28" s="1"/>
  <c r="F8" i="28"/>
  <c r="AE75" i="17"/>
  <c r="F13" i="28"/>
  <c r="F24" i="28" s="1"/>
  <c r="F8" i="24"/>
  <c r="I8" i="28"/>
  <c r="H18" i="24"/>
  <c r="J13" i="28"/>
  <c r="J24" i="28" s="1"/>
  <c r="Q22" i="28"/>
  <c r="J8" i="24"/>
  <c r="K8" i="28"/>
  <c r="G8" i="28"/>
  <c r="G13" i="28"/>
  <c r="G24" i="28" s="1"/>
  <c r="G8" i="24"/>
  <c r="I8" i="24"/>
  <c r="G18" i="24"/>
  <c r="I13" i="28"/>
  <c r="I24" i="28" s="1"/>
  <c r="P22" i="28"/>
  <c r="AG75" i="17"/>
  <c r="H8" i="28"/>
  <c r="H8" i="24"/>
  <c r="D6" i="32" s="1"/>
  <c r="C23" i="32" s="1"/>
  <c r="H13" i="28"/>
  <c r="H24" i="28" s="1"/>
  <c r="D165" i="2"/>
  <c r="L8" i="28"/>
  <c r="R22" i="28"/>
  <c r="K8" i="24"/>
  <c r="K13" i="28"/>
  <c r="K24" i="28" s="1"/>
  <c r="I18" i="24"/>
  <c r="E8" i="28"/>
  <c r="S22" i="28"/>
  <c r="L8" i="24"/>
  <c r="J18" i="24"/>
  <c r="L13" i="28"/>
  <c r="L24" i="28" s="1"/>
  <c r="K18" i="24" l="1"/>
  <c r="D23" i="32"/>
  <c r="E8" i="24" s="1"/>
  <c r="I49" i="32"/>
  <c r="I29" i="32"/>
  <c r="I58" i="32"/>
  <c r="I60" i="32"/>
  <c r="I64" i="32"/>
  <c r="I26" i="32"/>
  <c r="I8" i="32"/>
  <c r="I54" i="32"/>
  <c r="I53" i="32"/>
  <c r="I22" i="32"/>
  <c r="I5" i="32"/>
  <c r="I4" i="32"/>
  <c r="I9" i="32"/>
  <c r="I16" i="32"/>
  <c r="I55" i="32"/>
  <c r="I70" i="32"/>
  <c r="I69" i="32"/>
  <c r="I34" i="32"/>
  <c r="I72" i="32"/>
  <c r="I61" i="32"/>
  <c r="I12" i="32"/>
  <c r="I28" i="32"/>
  <c r="I27" i="32"/>
  <c r="I36" i="32"/>
  <c r="I13" i="32"/>
  <c r="L18" i="24"/>
  <c r="I20" i="32"/>
  <c r="I30" i="32"/>
  <c r="I33" i="32"/>
  <c r="I19" i="32"/>
  <c r="I14" i="32"/>
  <c r="I40" i="32"/>
  <c r="I21" i="32"/>
  <c r="I15" i="32"/>
  <c r="I74" i="32"/>
  <c r="I50" i="32"/>
  <c r="I67" i="32"/>
  <c r="I45" i="32"/>
  <c r="I18" i="32"/>
  <c r="I52" i="32"/>
  <c r="I44" i="32"/>
  <c r="I79" i="32"/>
  <c r="I56" i="32"/>
  <c r="I73" i="32"/>
  <c r="I59" i="32"/>
  <c r="I65" i="32"/>
  <c r="I31" i="32"/>
  <c r="I47" i="32"/>
  <c r="I77" i="32"/>
  <c r="I43" i="32"/>
  <c r="I35" i="32"/>
  <c r="I23" i="32"/>
  <c r="I24" i="32"/>
  <c r="I80" i="32"/>
  <c r="I75" i="32"/>
  <c r="I3" i="32"/>
  <c r="I6" i="32"/>
  <c r="I25" i="32"/>
  <c r="I39" i="32"/>
  <c r="I17" i="32"/>
  <c r="I10" i="32"/>
  <c r="I78" i="32"/>
  <c r="I41" i="32"/>
  <c r="I11" i="32"/>
  <c r="I66" i="32"/>
  <c r="I42" i="32"/>
  <c r="I32" i="32"/>
  <c r="I38" i="32"/>
  <c r="I51" i="32"/>
  <c r="I71" i="32"/>
  <c r="I46" i="32"/>
  <c r="I62" i="32"/>
  <c r="I68" i="32"/>
  <c r="I76" i="32"/>
  <c r="I57" i="32"/>
  <c r="I37" i="32"/>
  <c r="I63" i="32"/>
  <c r="I7" i="32"/>
  <c r="I48" i="32"/>
  <c r="D171" i="2"/>
  <c r="L19" i="24" l="1"/>
  <c r="I30" i="24"/>
  <c r="D172" i="2"/>
  <c r="G171" i="2"/>
  <c r="N8" i="32"/>
  <c r="D173" i="2" l="1"/>
  <c r="G172" i="2"/>
  <c r="AY53" i="17"/>
  <c r="AY51" i="17"/>
  <c r="AY8" i="17"/>
  <c r="AY52" i="17"/>
  <c r="AY7" i="17"/>
  <c r="AY10" i="17"/>
  <c r="AY9" i="17"/>
  <c r="AY6" i="17"/>
  <c r="AY4" i="17"/>
  <c r="AY5" i="17"/>
  <c r="AY50" i="17"/>
  <c r="D174" i="2" l="1"/>
  <c r="G173" i="2"/>
  <c r="AY54" i="17"/>
  <c r="AY15" i="17"/>
  <c r="AY71" i="17"/>
  <c r="AY40" i="17"/>
  <c r="AY17" i="17"/>
  <c r="AY11" i="17"/>
  <c r="AY44" i="17"/>
  <c r="AY72" i="17"/>
  <c r="AY14" i="17"/>
  <c r="AY39" i="17"/>
  <c r="AY57" i="17"/>
  <c r="AY42" i="17"/>
  <c r="AY41" i="17"/>
  <c r="AY45" i="17"/>
  <c r="AY70" i="17"/>
  <c r="AY43" i="17"/>
  <c r="AY16" i="17"/>
  <c r="AY56" i="17"/>
  <c r="AY55" i="17"/>
  <c r="AY13" i="17"/>
  <c r="AY12" i="17"/>
  <c r="AY73" i="17"/>
  <c r="AY58" i="17" l="1"/>
  <c r="AY18" i="17"/>
  <c r="AY60" i="17"/>
  <c r="AY22" i="17"/>
  <c r="AY23" i="17"/>
  <c r="AY59" i="17"/>
  <c r="AY24" i="17"/>
  <c r="AY19" i="17"/>
  <c r="AY21" i="17"/>
  <c r="AY61" i="17"/>
  <c r="AY20" i="17"/>
  <c r="D175" i="2"/>
  <c r="G174" i="2"/>
  <c r="D176" i="2" l="1"/>
  <c r="G175" i="2"/>
  <c r="AY31" i="17"/>
  <c r="AY64" i="17"/>
  <c r="AY30" i="17"/>
  <c r="AY65" i="17"/>
  <c r="AY63" i="17"/>
  <c r="AY62" i="17"/>
  <c r="AY25" i="17"/>
  <c r="AY28" i="17"/>
  <c r="AY27" i="17"/>
  <c r="AY26" i="17"/>
  <c r="AY29" i="17"/>
  <c r="D180" i="2" l="1"/>
  <c r="G176" i="2"/>
  <c r="AY32" i="17" l="1"/>
  <c r="AY37" i="17"/>
  <c r="AY38" i="17"/>
  <c r="AY36" i="17"/>
  <c r="AY69" i="17"/>
  <c r="AY66" i="17"/>
  <c r="AY68" i="17"/>
  <c r="AY35" i="17"/>
  <c r="AY34" i="17"/>
  <c r="AY33" i="17"/>
  <c r="AY67" i="17"/>
  <c r="D181" i="2"/>
  <c r="G180" i="2"/>
  <c r="AY47" i="17" l="1"/>
  <c r="D182" i="2"/>
  <c r="G181" i="2"/>
  <c r="F17" i="24"/>
  <c r="P10" i="28"/>
  <c r="P15" i="28"/>
  <c r="F19" i="24" l="1"/>
  <c r="D183" i="2"/>
  <c r="G182" i="2"/>
  <c r="AZ57" i="17"/>
  <c r="AZ5" i="17"/>
  <c r="AZ6" i="17"/>
  <c r="AZ7" i="17"/>
  <c r="AZ8" i="17"/>
  <c r="AZ9" i="17"/>
  <c r="AZ4" i="17"/>
  <c r="AZ10" i="17"/>
  <c r="AZ12" i="17"/>
  <c r="AZ13" i="17"/>
  <c r="AZ15" i="17"/>
  <c r="AZ14" i="17"/>
  <c r="AZ16" i="17"/>
  <c r="AZ11" i="17"/>
  <c r="AZ17" i="17"/>
  <c r="AZ51" i="17"/>
  <c r="AZ52" i="17"/>
  <c r="AZ53" i="17"/>
  <c r="AZ50" i="17"/>
  <c r="AZ55" i="17"/>
  <c r="AZ56" i="17"/>
  <c r="AZ54" i="17"/>
  <c r="D184" i="2" l="1"/>
  <c r="G183" i="2"/>
  <c r="D185" i="2" l="1"/>
  <c r="G184" i="2"/>
  <c r="D189" i="2" l="1"/>
  <c r="G185" i="2"/>
  <c r="AZ66" i="17" l="1"/>
  <c r="AZ40" i="17"/>
  <c r="AZ43" i="17"/>
  <c r="AZ71" i="17"/>
  <c r="AZ39" i="17"/>
  <c r="AZ44" i="17"/>
  <c r="AZ42" i="17"/>
  <c r="AZ45" i="17"/>
  <c r="AZ70" i="17"/>
  <c r="AZ72" i="17"/>
  <c r="AZ73" i="17"/>
  <c r="AZ41" i="17"/>
  <c r="AZ20" i="17"/>
  <c r="AZ19" i="17"/>
  <c r="AZ18" i="17"/>
  <c r="AZ21" i="17"/>
  <c r="AZ22" i="17"/>
  <c r="AZ23" i="17"/>
  <c r="AZ24" i="17"/>
  <c r="AZ26" i="17"/>
  <c r="AZ27" i="17"/>
  <c r="AZ29" i="17"/>
  <c r="AZ28" i="17"/>
  <c r="AZ25" i="17"/>
  <c r="AZ30" i="17"/>
  <c r="AZ31" i="17"/>
  <c r="AZ34" i="17"/>
  <c r="AZ33" i="17"/>
  <c r="AZ36" i="17"/>
  <c r="AZ35" i="17"/>
  <c r="AZ32" i="17"/>
  <c r="AZ38" i="17"/>
  <c r="AZ37" i="17"/>
  <c r="AZ59" i="17"/>
  <c r="AZ60" i="17"/>
  <c r="AZ61" i="17"/>
  <c r="AZ58" i="17"/>
  <c r="AZ63" i="17"/>
  <c r="AZ64" i="17"/>
  <c r="AZ65" i="17"/>
  <c r="AZ62" i="17"/>
  <c r="AZ67" i="17"/>
  <c r="AZ68" i="17"/>
  <c r="AZ69" i="17"/>
  <c r="D190" i="2"/>
  <c r="G189" i="2"/>
  <c r="AZ47" i="17" l="1"/>
  <c r="D191" i="2"/>
  <c r="G190" i="2"/>
  <c r="Q15" i="28"/>
  <c r="G17" i="24"/>
  <c r="Q10" i="28"/>
  <c r="D192" i="2" l="1"/>
  <c r="G191" i="2"/>
  <c r="G19" i="24"/>
  <c r="BA4" i="17"/>
  <c r="BA11" i="17"/>
  <c r="BA51" i="17"/>
  <c r="BA52" i="17"/>
  <c r="BA53" i="17"/>
  <c r="BA50" i="17"/>
  <c r="BA55" i="17"/>
  <c r="BA57" i="17"/>
  <c r="BA56" i="17"/>
  <c r="BA54" i="17"/>
  <c r="D193" i="2" l="1"/>
  <c r="G192" i="2"/>
  <c r="D194" i="2" l="1"/>
  <c r="G193" i="2"/>
  <c r="D198" i="2" l="1"/>
  <c r="G194" i="2"/>
  <c r="BA42" i="17" l="1"/>
  <c r="BA41" i="17"/>
  <c r="BA70" i="17"/>
  <c r="BA71" i="17"/>
  <c r="BA40" i="17"/>
  <c r="BA72" i="17"/>
  <c r="BA39" i="17"/>
  <c r="BA44" i="17"/>
  <c r="BA73" i="17"/>
  <c r="BA45" i="17"/>
  <c r="BA43" i="17"/>
  <c r="BA18" i="17"/>
  <c r="BA25" i="17"/>
  <c r="BA32" i="17"/>
  <c r="BA59" i="17"/>
  <c r="BA60" i="17"/>
  <c r="BA61" i="17"/>
  <c r="BA58" i="17"/>
  <c r="BA63" i="17"/>
  <c r="BA64" i="17"/>
  <c r="BA65" i="17"/>
  <c r="BA62" i="17"/>
  <c r="BA67" i="17"/>
  <c r="BA68" i="17"/>
  <c r="BA66" i="17"/>
  <c r="BA69" i="17"/>
  <c r="D199" i="2"/>
  <c r="G198" i="2"/>
  <c r="D200" i="2" l="1"/>
  <c r="G199" i="2"/>
  <c r="R10" i="28"/>
  <c r="H17" i="24"/>
  <c r="R15" i="28"/>
  <c r="H19" i="24" l="1"/>
  <c r="K17" i="24"/>
  <c r="K19" i="24" s="1"/>
  <c r="J30" i="24" s="1"/>
  <c r="BB50" i="17"/>
  <c r="BB8" i="17"/>
  <c r="BB12" i="17"/>
  <c r="BB5" i="17"/>
  <c r="BB10" i="17"/>
  <c r="BB15" i="17"/>
  <c r="BB51" i="17"/>
  <c r="BB7" i="17"/>
  <c r="BB11" i="17"/>
  <c r="BB4" i="17"/>
  <c r="BB13" i="17"/>
  <c r="BB14" i="17"/>
  <c r="BB55" i="17"/>
  <c r="BB6" i="17"/>
  <c r="BB54" i="17"/>
  <c r="BB52" i="17"/>
  <c r="BB16" i="17"/>
  <c r="BB17" i="17"/>
  <c r="BB9" i="17"/>
  <c r="BB53" i="17"/>
  <c r="BB56" i="17"/>
  <c r="BB57" i="17"/>
  <c r="D201" i="2"/>
  <c r="G200" i="2"/>
  <c r="D202" i="2" l="1"/>
  <c r="G201" i="2"/>
  <c r="D203" i="2" l="1"/>
  <c r="G202" i="2"/>
  <c r="D207" i="2" l="1"/>
  <c r="G203" i="2"/>
  <c r="BB71" i="17" l="1"/>
  <c r="BB73" i="17"/>
  <c r="BB72" i="17"/>
  <c r="BB40" i="17"/>
  <c r="BB70" i="17"/>
  <c r="BB44" i="17"/>
  <c r="BB39" i="17"/>
  <c r="BB41" i="17"/>
  <c r="BB45" i="17"/>
  <c r="BB43" i="17"/>
  <c r="BB42" i="17"/>
  <c r="BB62" i="17"/>
  <c r="BB36" i="17"/>
  <c r="BB30" i="17"/>
  <c r="BB34" i="17"/>
  <c r="BB64" i="17"/>
  <c r="BB23" i="17"/>
  <c r="BB18" i="17"/>
  <c r="BB28" i="17"/>
  <c r="BB66" i="17"/>
  <c r="BB33" i="17"/>
  <c r="BB37" i="17"/>
  <c r="BB35" i="17"/>
  <c r="BB21" i="17"/>
  <c r="BB25" i="17"/>
  <c r="BB19" i="17"/>
  <c r="BB20" i="17"/>
  <c r="BB59" i="17"/>
  <c r="BB27" i="17"/>
  <c r="BB68" i="17"/>
  <c r="BB58" i="17"/>
  <c r="BB22" i="17"/>
  <c r="BB26" i="17"/>
  <c r="BB29" i="17"/>
  <c r="BB32" i="17"/>
  <c r="BB67" i="17"/>
  <c r="BB63" i="17"/>
  <c r="BB38" i="17"/>
  <c r="BB61" i="17"/>
  <c r="BB65" i="17"/>
  <c r="BB69" i="17"/>
  <c r="BB31" i="17"/>
  <c r="BB60" i="17"/>
  <c r="BB24" i="17"/>
  <c r="D208" i="2"/>
  <c r="G207" i="2"/>
  <c r="S15" i="28" l="1"/>
  <c r="S10" i="28"/>
  <c r="I17" i="24"/>
  <c r="I19" i="24" s="1"/>
  <c r="D209" i="2"/>
  <c r="G208" i="2"/>
  <c r="BB47" i="17"/>
  <c r="BC4" i="17" l="1"/>
  <c r="BC54" i="17"/>
  <c r="BC50" i="17"/>
  <c r="BC11" i="17"/>
  <c r="BC10" i="17"/>
  <c r="BC6" i="17"/>
  <c r="BC16" i="17"/>
  <c r="BC8" i="17"/>
  <c r="BC7" i="17"/>
  <c r="BC12" i="17"/>
  <c r="BC14" i="17"/>
  <c r="BC52" i="17"/>
  <c r="BC15" i="17"/>
  <c r="BC56" i="17"/>
  <c r="BC5" i="17"/>
  <c r="BC55" i="17"/>
  <c r="BC13" i="17"/>
  <c r="BC53" i="17"/>
  <c r="BC9" i="17"/>
  <c r="BC57" i="17"/>
  <c r="BC17" i="17"/>
  <c r="BC51" i="17"/>
  <c r="D210" i="2"/>
  <c r="G209" i="2"/>
  <c r="D211" i="2" l="1"/>
  <c r="G210" i="2"/>
  <c r="D212" i="2" l="1"/>
  <c r="G211" i="2"/>
  <c r="D217" i="2" l="1"/>
  <c r="G212" i="2"/>
  <c r="BC45" i="17" l="1"/>
  <c r="BC39" i="17"/>
  <c r="BC73" i="17"/>
  <c r="BC71" i="17"/>
  <c r="BC42" i="17"/>
  <c r="BC41" i="17"/>
  <c r="BC40" i="17"/>
  <c r="BC72" i="17"/>
  <c r="BC43" i="17"/>
  <c r="BC44" i="17"/>
  <c r="BC70" i="17"/>
  <c r="BC26" i="17"/>
  <c r="BC18" i="17"/>
  <c r="BC20" i="17"/>
  <c r="BC35" i="17"/>
  <c r="BC21" i="17"/>
  <c r="BC63" i="17"/>
  <c r="BC59" i="17"/>
  <c r="BC29" i="17"/>
  <c r="BC67" i="17"/>
  <c r="BC36" i="17"/>
  <c r="BC37" i="17"/>
  <c r="BC60" i="17"/>
  <c r="BC30" i="17"/>
  <c r="BC34" i="17"/>
  <c r="BC68" i="17"/>
  <c r="BC23" i="17"/>
  <c r="BC22" i="17"/>
  <c r="BC58" i="17"/>
  <c r="BC32" i="17"/>
  <c r="BC33" i="17"/>
  <c r="BC64" i="17"/>
  <c r="BC25" i="17"/>
  <c r="BC66" i="17"/>
  <c r="BC28" i="17"/>
  <c r="BC19" i="17"/>
  <c r="BC62" i="17"/>
  <c r="BC69" i="17"/>
  <c r="BC38" i="17"/>
  <c r="BC31" i="17"/>
  <c r="BC65" i="17"/>
  <c r="BC61" i="17"/>
  <c r="BC24" i="17"/>
  <c r="BC27" i="17"/>
  <c r="D218" i="2"/>
  <c r="G217" i="2"/>
  <c r="P6" i="17" l="1"/>
  <c r="Q6" i="17" s="1"/>
  <c r="P7" i="17"/>
  <c r="Q7" i="17" s="1"/>
  <c r="P9" i="17"/>
  <c r="Q9" i="17" s="1"/>
  <c r="P10" i="17"/>
  <c r="Q10" i="17" s="1"/>
  <c r="P5" i="17"/>
  <c r="Q5" i="17" s="1"/>
  <c r="P8" i="17"/>
  <c r="Q8" i="17" s="1"/>
  <c r="BC47" i="17"/>
  <c r="J17" i="24"/>
  <c r="J19" i="24" s="1"/>
  <c r="T15" i="28"/>
  <c r="T10" i="28"/>
  <c r="D219" i="2"/>
  <c r="G218" i="2"/>
  <c r="P15" i="17" l="1"/>
  <c r="Q15" i="17" s="1"/>
  <c r="P17" i="17"/>
  <c r="Q17" i="17" s="1"/>
  <c r="P16" i="17"/>
  <c r="Q16" i="17" s="1"/>
  <c r="P12" i="17"/>
  <c r="Q12" i="17" s="1"/>
  <c r="P13" i="17"/>
  <c r="Q13" i="17" s="1"/>
  <c r="P14" i="17"/>
  <c r="Q14" i="17" s="1"/>
  <c r="AF10" i="17"/>
  <c r="AP10" i="17" s="1"/>
  <c r="AM10" i="17"/>
  <c r="AJ10" i="17"/>
  <c r="AT10" i="17" s="1"/>
  <c r="AE10" i="17"/>
  <c r="AO10" i="17" s="1"/>
  <c r="AK10" i="17"/>
  <c r="AU10" i="17" s="1"/>
  <c r="AI10" i="17"/>
  <c r="AS10" i="17" s="1"/>
  <c r="BA10" i="17"/>
  <c r="AH10" i="17"/>
  <c r="AR10" i="17" s="1"/>
  <c r="AG10" i="17"/>
  <c r="AQ10" i="17" s="1"/>
  <c r="AD10" i="17"/>
  <c r="AN10" i="17" s="1"/>
  <c r="D220" i="2"/>
  <c r="G219" i="2"/>
  <c r="BA5" i="17"/>
  <c r="AE5" i="17"/>
  <c r="AK5" i="17"/>
  <c r="AD5" i="17"/>
  <c r="AF5" i="17"/>
  <c r="AJ5" i="17"/>
  <c r="AI5" i="17"/>
  <c r="AG5" i="17"/>
  <c r="AH5" i="17"/>
  <c r="AM5" i="17"/>
  <c r="AD7" i="17"/>
  <c r="AN7" i="17" s="1"/>
  <c r="AH7" i="17"/>
  <c r="AR7" i="17" s="1"/>
  <c r="AJ7" i="17"/>
  <c r="AT7" i="17" s="1"/>
  <c r="BA7" i="17"/>
  <c r="AK7" i="17"/>
  <c r="AU7" i="17" s="1"/>
  <c r="AG7" i="17"/>
  <c r="AQ7" i="17" s="1"/>
  <c r="AM7" i="17"/>
  <c r="AI7" i="17"/>
  <c r="AS7" i="17" s="1"/>
  <c r="AF7" i="17"/>
  <c r="AP7" i="17" s="1"/>
  <c r="AE7" i="17"/>
  <c r="AO7" i="17" s="1"/>
  <c r="BA8" i="17"/>
  <c r="AF8" i="17"/>
  <c r="AP8" i="17" s="1"/>
  <c r="AD8" i="17"/>
  <c r="AN8" i="17" s="1"/>
  <c r="AH8" i="17"/>
  <c r="AR8" i="17" s="1"/>
  <c r="AK8" i="17"/>
  <c r="AU8" i="17" s="1"/>
  <c r="AM8" i="17"/>
  <c r="AJ8" i="17"/>
  <c r="AT8" i="17" s="1"/>
  <c r="AI8" i="17"/>
  <c r="AS8" i="17" s="1"/>
  <c r="AE8" i="17"/>
  <c r="AO8" i="17" s="1"/>
  <c r="AG8" i="17"/>
  <c r="AQ8" i="17" s="1"/>
  <c r="AJ9" i="17"/>
  <c r="AT9" i="17" s="1"/>
  <c r="AM9" i="17"/>
  <c r="AK9" i="17"/>
  <c r="AU9" i="17" s="1"/>
  <c r="AD9" i="17"/>
  <c r="AN9" i="17" s="1"/>
  <c r="AF9" i="17"/>
  <c r="AP9" i="17" s="1"/>
  <c r="AG9" i="17"/>
  <c r="AQ9" i="17" s="1"/>
  <c r="AH9" i="17"/>
  <c r="AR9" i="17" s="1"/>
  <c r="BA9" i="17"/>
  <c r="AI9" i="17"/>
  <c r="AS9" i="17" s="1"/>
  <c r="AE9" i="17"/>
  <c r="AO9" i="17" s="1"/>
  <c r="AI6" i="17"/>
  <c r="AS6" i="17" s="1"/>
  <c r="AH6" i="17"/>
  <c r="AR6" i="17" s="1"/>
  <c r="AJ6" i="17"/>
  <c r="AT6" i="17" s="1"/>
  <c r="AD6" i="17"/>
  <c r="AN6" i="17" s="1"/>
  <c r="BA6" i="17"/>
  <c r="AF6" i="17"/>
  <c r="AP6" i="17" s="1"/>
  <c r="AG6" i="17"/>
  <c r="AQ6" i="17" s="1"/>
  <c r="AE6" i="17"/>
  <c r="AO6" i="17" s="1"/>
  <c r="AK6" i="17"/>
  <c r="AU6" i="17" s="1"/>
  <c r="AM6" i="17"/>
  <c r="AR5" i="17" l="1"/>
  <c r="AT5" i="17"/>
  <c r="AN5" i="17"/>
  <c r="AD14" i="17"/>
  <c r="AN14" i="17" s="1"/>
  <c r="AM14" i="17"/>
  <c r="AG14" i="17"/>
  <c r="AQ14" i="17" s="1"/>
  <c r="BA14" i="17"/>
  <c r="AJ14" i="17"/>
  <c r="AT14" i="17" s="1"/>
  <c r="AH14" i="17"/>
  <c r="AR14" i="17" s="1"/>
  <c r="AF14" i="17"/>
  <c r="AP14" i="17" s="1"/>
  <c r="AK14" i="17"/>
  <c r="AU14" i="17" s="1"/>
  <c r="AI14" i="17"/>
  <c r="AS14" i="17" s="1"/>
  <c r="AE14" i="17"/>
  <c r="AO14" i="17" s="1"/>
  <c r="AQ5" i="17"/>
  <c r="AP5" i="17"/>
  <c r="AU5" i="17"/>
  <c r="AD13" i="17"/>
  <c r="AN13" i="17" s="1"/>
  <c r="AE13" i="17"/>
  <c r="AO13" i="17" s="1"/>
  <c r="BA13" i="17"/>
  <c r="AH13" i="17"/>
  <c r="AR13" i="17" s="1"/>
  <c r="AG13" i="17"/>
  <c r="AQ13" i="17" s="1"/>
  <c r="AI13" i="17"/>
  <c r="AS13" i="17" s="1"/>
  <c r="AJ13" i="17"/>
  <c r="AT13" i="17" s="1"/>
  <c r="AM13" i="17"/>
  <c r="AK13" i="17"/>
  <c r="AU13" i="17" s="1"/>
  <c r="AF13" i="17"/>
  <c r="AP13" i="17" s="1"/>
  <c r="AO5" i="17"/>
  <c r="AH12" i="17"/>
  <c r="AR12" i="17" s="1"/>
  <c r="AF12" i="17"/>
  <c r="AP12" i="17" s="1"/>
  <c r="AI12" i="17"/>
  <c r="AS12" i="17" s="1"/>
  <c r="AJ12" i="17"/>
  <c r="AT12" i="17" s="1"/>
  <c r="AG12" i="17"/>
  <c r="AQ12" i="17" s="1"/>
  <c r="AE12" i="17"/>
  <c r="AO12" i="17" s="1"/>
  <c r="AM12" i="17"/>
  <c r="AD12" i="17"/>
  <c r="AN12" i="17" s="1"/>
  <c r="AK12" i="17"/>
  <c r="AU12" i="17" s="1"/>
  <c r="BA12" i="17"/>
  <c r="AD16" i="17"/>
  <c r="AN16" i="17" s="1"/>
  <c r="AJ16" i="17"/>
  <c r="AT16" i="17" s="1"/>
  <c r="AM16" i="17"/>
  <c r="AH16" i="17"/>
  <c r="AR16" i="17" s="1"/>
  <c r="AF16" i="17"/>
  <c r="AP16" i="17" s="1"/>
  <c r="AE16" i="17"/>
  <c r="AO16" i="17" s="1"/>
  <c r="BA16" i="17"/>
  <c r="AG16" i="17"/>
  <c r="AQ16" i="17" s="1"/>
  <c r="AK16" i="17"/>
  <c r="AU16" i="17" s="1"/>
  <c r="AI16" i="17"/>
  <c r="AS16" i="17" s="1"/>
  <c r="P22" i="17"/>
  <c r="Q22" i="17" s="1"/>
  <c r="P23" i="17"/>
  <c r="Q23" i="17" s="1"/>
  <c r="P24" i="17"/>
  <c r="Q24" i="17" s="1"/>
  <c r="P19" i="17"/>
  <c r="Q19" i="17" s="1"/>
  <c r="P21" i="17"/>
  <c r="Q21" i="17" s="1"/>
  <c r="P20" i="17"/>
  <c r="Q20" i="17" s="1"/>
  <c r="AJ17" i="17"/>
  <c r="AT17" i="17" s="1"/>
  <c r="AF17" i="17"/>
  <c r="AP17" i="17" s="1"/>
  <c r="AM17" i="17"/>
  <c r="AG17" i="17"/>
  <c r="AQ17" i="17" s="1"/>
  <c r="AD17" i="17"/>
  <c r="AN17" i="17" s="1"/>
  <c r="AK17" i="17"/>
  <c r="AU17" i="17" s="1"/>
  <c r="AE17" i="17"/>
  <c r="AO17" i="17" s="1"/>
  <c r="AI17" i="17"/>
  <c r="AS17" i="17" s="1"/>
  <c r="AH17" i="17"/>
  <c r="AR17" i="17" s="1"/>
  <c r="BA17" i="17"/>
  <c r="AS5" i="17"/>
  <c r="D221" i="2"/>
  <c r="G220" i="2"/>
  <c r="AG15" i="17"/>
  <c r="AQ15" i="17" s="1"/>
  <c r="AJ15" i="17"/>
  <c r="AT15" i="17" s="1"/>
  <c r="AM15" i="17"/>
  <c r="AH15" i="17"/>
  <c r="AR15" i="17" s="1"/>
  <c r="AI15" i="17"/>
  <c r="AS15" i="17" s="1"/>
  <c r="AF15" i="17"/>
  <c r="AP15" i="17" s="1"/>
  <c r="AD15" i="17"/>
  <c r="AN15" i="17" s="1"/>
  <c r="AK15" i="17"/>
  <c r="AU15" i="17" s="1"/>
  <c r="BA15" i="17"/>
  <c r="AE15" i="17"/>
  <c r="AO15" i="17" s="1"/>
  <c r="P30" i="17" l="1"/>
  <c r="Q30" i="17" s="1"/>
  <c r="P28" i="17"/>
  <c r="Q28" i="17" s="1"/>
  <c r="P26" i="17"/>
  <c r="Q26" i="17" s="1"/>
  <c r="P29" i="17"/>
  <c r="Q29" i="17" s="1"/>
  <c r="P31" i="17"/>
  <c r="Q31" i="17" s="1"/>
  <c r="P27" i="17"/>
  <c r="Q27" i="17" s="1"/>
  <c r="AD19" i="17"/>
  <c r="AN19" i="17" s="1"/>
  <c r="AJ19" i="17"/>
  <c r="AT19" i="17" s="1"/>
  <c r="AE19" i="17"/>
  <c r="AO19" i="17" s="1"/>
  <c r="AG19" i="17"/>
  <c r="AQ19" i="17" s="1"/>
  <c r="AF19" i="17"/>
  <c r="AP19" i="17" s="1"/>
  <c r="AK19" i="17"/>
  <c r="AU19" i="17" s="1"/>
  <c r="AI19" i="17"/>
  <c r="AS19" i="17" s="1"/>
  <c r="AM19" i="17"/>
  <c r="AH19" i="17"/>
  <c r="AR19" i="17" s="1"/>
  <c r="BA19" i="17"/>
  <c r="AK20" i="17"/>
  <c r="AU20" i="17" s="1"/>
  <c r="AF20" i="17"/>
  <c r="AP20" i="17" s="1"/>
  <c r="BA20" i="17"/>
  <c r="AM20" i="17"/>
  <c r="AJ20" i="17"/>
  <c r="AT20" i="17" s="1"/>
  <c r="AD20" i="17"/>
  <c r="AN20" i="17" s="1"/>
  <c r="AG20" i="17"/>
  <c r="AQ20" i="17" s="1"/>
  <c r="AH20" i="17"/>
  <c r="AR20" i="17" s="1"/>
  <c r="AI20" i="17"/>
  <c r="AS20" i="17" s="1"/>
  <c r="AE20" i="17"/>
  <c r="AO20" i="17" s="1"/>
  <c r="AF24" i="17"/>
  <c r="AP24" i="17" s="1"/>
  <c r="AI24" i="17"/>
  <c r="AS24" i="17" s="1"/>
  <c r="AM24" i="17"/>
  <c r="BA24" i="17"/>
  <c r="AG24" i="17"/>
  <c r="AQ24" i="17" s="1"/>
  <c r="AJ24" i="17"/>
  <c r="AT24" i="17" s="1"/>
  <c r="AE24" i="17"/>
  <c r="AO24" i="17" s="1"/>
  <c r="AD24" i="17"/>
  <c r="AN24" i="17" s="1"/>
  <c r="AH24" i="17"/>
  <c r="AR24" i="17" s="1"/>
  <c r="AK24" i="17"/>
  <c r="AU24" i="17" s="1"/>
  <c r="BA23" i="17"/>
  <c r="AJ23" i="17"/>
  <c r="AT23" i="17" s="1"/>
  <c r="AI23" i="17"/>
  <c r="AS23" i="17" s="1"/>
  <c r="AK23" i="17"/>
  <c r="AU23" i="17" s="1"/>
  <c r="AD23" i="17"/>
  <c r="AN23" i="17" s="1"/>
  <c r="AM23" i="17"/>
  <c r="AF23" i="17"/>
  <c r="AP23" i="17" s="1"/>
  <c r="AH23" i="17"/>
  <c r="AR23" i="17" s="1"/>
  <c r="AE23" i="17"/>
  <c r="AO23" i="17" s="1"/>
  <c r="AG23" i="17"/>
  <c r="AQ23" i="17" s="1"/>
  <c r="BA21" i="17"/>
  <c r="AG21" i="17"/>
  <c r="AQ21" i="17" s="1"/>
  <c r="AF21" i="17"/>
  <c r="AP21" i="17" s="1"/>
  <c r="AE21" i="17"/>
  <c r="AO21" i="17" s="1"/>
  <c r="AJ21" i="17"/>
  <c r="AT21" i="17" s="1"/>
  <c r="AM21" i="17"/>
  <c r="AH21" i="17"/>
  <c r="AR21" i="17" s="1"/>
  <c r="AD21" i="17"/>
  <c r="AN21" i="17" s="1"/>
  <c r="AI21" i="17"/>
  <c r="AS21" i="17" s="1"/>
  <c r="AK21" i="17"/>
  <c r="AU21" i="17" s="1"/>
  <c r="AM22" i="17"/>
  <c r="AG22" i="17"/>
  <c r="AQ22" i="17" s="1"/>
  <c r="AF22" i="17"/>
  <c r="AP22" i="17" s="1"/>
  <c r="AJ22" i="17"/>
  <c r="AT22" i="17" s="1"/>
  <c r="AE22" i="17"/>
  <c r="AO22" i="17" s="1"/>
  <c r="AH22" i="17"/>
  <c r="AR22" i="17" s="1"/>
  <c r="AK22" i="17"/>
  <c r="AU22" i="17" s="1"/>
  <c r="AI22" i="17"/>
  <c r="AS22" i="17" s="1"/>
  <c r="AD22" i="17"/>
  <c r="AN22" i="17" s="1"/>
  <c r="BA22" i="17"/>
  <c r="D222" i="2"/>
  <c r="G221" i="2"/>
  <c r="AD27" i="17" l="1"/>
  <c r="AN27" i="17" s="1"/>
  <c r="AG27" i="17"/>
  <c r="AQ27" i="17" s="1"/>
  <c r="AK27" i="17"/>
  <c r="AU27" i="17" s="1"/>
  <c r="BA27" i="17"/>
  <c r="AF27" i="17"/>
  <c r="AP27" i="17" s="1"/>
  <c r="AH27" i="17"/>
  <c r="AR27" i="17" s="1"/>
  <c r="AI27" i="17"/>
  <c r="AS27" i="17" s="1"/>
  <c r="AM27" i="17"/>
  <c r="AE27" i="17"/>
  <c r="AO27" i="17" s="1"/>
  <c r="AJ27" i="17"/>
  <c r="AT27" i="17" s="1"/>
  <c r="AD31" i="17"/>
  <c r="AN31" i="17" s="1"/>
  <c r="AG31" i="17"/>
  <c r="AQ31" i="17" s="1"/>
  <c r="AM31" i="17"/>
  <c r="BA31" i="17"/>
  <c r="AK31" i="17"/>
  <c r="AU31" i="17" s="1"/>
  <c r="AJ31" i="17"/>
  <c r="AT31" i="17" s="1"/>
  <c r="AH31" i="17"/>
  <c r="AR31" i="17" s="1"/>
  <c r="AE31" i="17"/>
  <c r="AO31" i="17" s="1"/>
  <c r="AF31" i="17"/>
  <c r="AP31" i="17" s="1"/>
  <c r="AI31" i="17"/>
  <c r="AS31" i="17" s="1"/>
  <c r="AJ29" i="17"/>
  <c r="AT29" i="17" s="1"/>
  <c r="AF29" i="17"/>
  <c r="AP29" i="17" s="1"/>
  <c r="AI29" i="17"/>
  <c r="AS29" i="17" s="1"/>
  <c r="AM29" i="17"/>
  <c r="AE29" i="17"/>
  <c r="AO29" i="17" s="1"/>
  <c r="AG29" i="17"/>
  <c r="AQ29" i="17" s="1"/>
  <c r="BA29" i="17"/>
  <c r="AD29" i="17"/>
  <c r="AN29" i="17" s="1"/>
  <c r="AK29" i="17"/>
  <c r="AU29" i="17" s="1"/>
  <c r="AH29" i="17"/>
  <c r="AR29" i="17" s="1"/>
  <c r="AG26" i="17"/>
  <c r="AQ26" i="17" s="1"/>
  <c r="AH26" i="17"/>
  <c r="AR26" i="17" s="1"/>
  <c r="AD26" i="17"/>
  <c r="AN26" i="17" s="1"/>
  <c r="AF26" i="17"/>
  <c r="AP26" i="17" s="1"/>
  <c r="AE26" i="17"/>
  <c r="AO26" i="17" s="1"/>
  <c r="AJ26" i="17"/>
  <c r="AT26" i="17" s="1"/>
  <c r="AK26" i="17"/>
  <c r="AI26" i="17"/>
  <c r="BA26" i="17"/>
  <c r="AM26" i="17"/>
  <c r="AG28" i="17"/>
  <c r="AQ28" i="17" s="1"/>
  <c r="AE28" i="17"/>
  <c r="AO28" i="17" s="1"/>
  <c r="AJ28" i="17"/>
  <c r="AT28" i="17" s="1"/>
  <c r="AF28" i="17"/>
  <c r="AP28" i="17" s="1"/>
  <c r="AH28" i="17"/>
  <c r="AR28" i="17" s="1"/>
  <c r="AK28" i="17"/>
  <c r="AU28" i="17" s="1"/>
  <c r="AM28" i="17"/>
  <c r="BA28" i="17"/>
  <c r="AI28" i="17"/>
  <c r="AS28" i="17" s="1"/>
  <c r="AD28" i="17"/>
  <c r="AN28" i="17" s="1"/>
  <c r="AM30" i="17"/>
  <c r="BA30" i="17"/>
  <c r="AE30" i="17"/>
  <c r="AO30" i="17" s="1"/>
  <c r="AF30" i="17"/>
  <c r="AP30" i="17" s="1"/>
  <c r="AI30" i="17"/>
  <c r="AS30" i="17" s="1"/>
  <c r="AH30" i="17"/>
  <c r="AR30" i="17" s="1"/>
  <c r="AJ30" i="17"/>
  <c r="AT30" i="17" s="1"/>
  <c r="AD30" i="17"/>
  <c r="AN30" i="17" s="1"/>
  <c r="AG30" i="17"/>
  <c r="AQ30" i="17" s="1"/>
  <c r="AK30" i="17"/>
  <c r="AU30" i="17" s="1"/>
  <c r="P34" i="17"/>
  <c r="Q34" i="17" s="1"/>
  <c r="P35" i="17"/>
  <c r="Q35" i="17" s="1"/>
  <c r="P37" i="17"/>
  <c r="Q37" i="17" s="1"/>
  <c r="P36" i="17"/>
  <c r="Q36" i="17" s="1"/>
  <c r="P33" i="17"/>
  <c r="Q33" i="17" s="1"/>
  <c r="P38" i="17"/>
  <c r="Q38" i="17" s="1"/>
  <c r="D225" i="2"/>
  <c r="G222" i="2"/>
  <c r="AM33" i="17" l="1"/>
  <c r="AJ33" i="17"/>
  <c r="AT33" i="17" s="1"/>
  <c r="AI33" i="17"/>
  <c r="AS33" i="17" s="1"/>
  <c r="AK33" i="17"/>
  <c r="AE33" i="17"/>
  <c r="AF33" i="17"/>
  <c r="AP33" i="17" s="1"/>
  <c r="AG33" i="17"/>
  <c r="AQ33" i="17" s="1"/>
  <c r="BA33" i="17"/>
  <c r="AH33" i="17"/>
  <c r="AR33" i="17" s="1"/>
  <c r="AD33" i="17"/>
  <c r="AN33" i="17" s="1"/>
  <c r="BA36" i="17"/>
  <c r="AH36" i="17"/>
  <c r="AR36" i="17" s="1"/>
  <c r="AK36" i="17"/>
  <c r="AU36" i="17" s="1"/>
  <c r="AD36" i="17"/>
  <c r="AN36" i="17" s="1"/>
  <c r="AI36" i="17"/>
  <c r="AS36" i="17" s="1"/>
  <c r="AE36" i="17"/>
  <c r="AO36" i="17" s="1"/>
  <c r="AM36" i="17"/>
  <c r="AG36" i="17"/>
  <c r="AQ36" i="17" s="1"/>
  <c r="AF36" i="17"/>
  <c r="AP36" i="17" s="1"/>
  <c r="AJ36" i="17"/>
  <c r="AT36" i="17" s="1"/>
  <c r="AD38" i="17"/>
  <c r="AN38" i="17" s="1"/>
  <c r="BA38" i="17"/>
  <c r="AF38" i="17"/>
  <c r="AP38" i="17" s="1"/>
  <c r="AG38" i="17"/>
  <c r="AQ38" i="17" s="1"/>
  <c r="AE38" i="17"/>
  <c r="AO38" i="17" s="1"/>
  <c r="AJ38" i="17"/>
  <c r="AT38" i="17" s="1"/>
  <c r="AK38" i="17"/>
  <c r="AU38" i="17" s="1"/>
  <c r="AM38" i="17"/>
  <c r="AH38" i="17"/>
  <c r="AR38" i="17" s="1"/>
  <c r="AI38" i="17"/>
  <c r="AS38" i="17" s="1"/>
  <c r="BA34" i="17"/>
  <c r="AE34" i="17"/>
  <c r="AO34" i="17" s="1"/>
  <c r="AF34" i="17"/>
  <c r="AP34" i="17" s="1"/>
  <c r="AJ34" i="17"/>
  <c r="AT34" i="17" s="1"/>
  <c r="AH34" i="17"/>
  <c r="AR34" i="17" s="1"/>
  <c r="AM34" i="17"/>
  <c r="AD34" i="17"/>
  <c r="AN34" i="17" s="1"/>
  <c r="AI34" i="17"/>
  <c r="AS34" i="17" s="1"/>
  <c r="AK34" i="17"/>
  <c r="AU34" i="17" s="1"/>
  <c r="AG34" i="17"/>
  <c r="AQ34" i="17" s="1"/>
  <c r="AF37" i="17"/>
  <c r="AP37" i="17" s="1"/>
  <c r="BA37" i="17"/>
  <c r="AJ37" i="17"/>
  <c r="AT37" i="17" s="1"/>
  <c r="AG37" i="17"/>
  <c r="AQ37" i="17" s="1"/>
  <c r="AK37" i="17"/>
  <c r="AU37" i="17" s="1"/>
  <c r="AM37" i="17"/>
  <c r="AH37" i="17"/>
  <c r="AR37" i="17" s="1"/>
  <c r="AD37" i="17"/>
  <c r="AN37" i="17" s="1"/>
  <c r="AE37" i="17"/>
  <c r="AO37" i="17" s="1"/>
  <c r="AI37" i="17"/>
  <c r="AS37" i="17" s="1"/>
  <c r="AG35" i="17"/>
  <c r="AQ35" i="17" s="1"/>
  <c r="AD35" i="17"/>
  <c r="AN35" i="17" s="1"/>
  <c r="AE35" i="17"/>
  <c r="AO35" i="17" s="1"/>
  <c r="AH35" i="17"/>
  <c r="AR35" i="17" s="1"/>
  <c r="AF35" i="17"/>
  <c r="AP35" i="17" s="1"/>
  <c r="AK35" i="17"/>
  <c r="AU35" i="17" s="1"/>
  <c r="AI35" i="17"/>
  <c r="AS35" i="17" s="1"/>
  <c r="AM35" i="17"/>
  <c r="BA35" i="17"/>
  <c r="AJ35" i="17"/>
  <c r="AT35" i="17" s="1"/>
  <c r="D227" i="2"/>
  <c r="D228" i="2" s="1"/>
  <c r="D229" i="2" s="1"/>
  <c r="D230" i="2" s="1"/>
  <c r="C2" i="2" s="1"/>
  <c r="D226" i="2"/>
  <c r="AS26" i="17"/>
  <c r="P41" i="17"/>
  <c r="Q41" i="17" s="1"/>
  <c r="P43" i="17"/>
  <c r="Q43" i="17" s="1"/>
  <c r="P44" i="17"/>
  <c r="Q44" i="17" s="1"/>
  <c r="P40" i="17"/>
  <c r="Q40" i="17" s="1"/>
  <c r="P42" i="17"/>
  <c r="Q42" i="17" s="1"/>
  <c r="P45" i="17"/>
  <c r="Q45" i="17" s="1"/>
  <c r="AU26" i="17"/>
  <c r="Q47" i="17" l="1"/>
  <c r="AO33" i="17"/>
  <c r="AU33" i="17"/>
  <c r="AK45" i="17"/>
  <c r="AF45" i="17"/>
  <c r="AJ45" i="17"/>
  <c r="AD45" i="17"/>
  <c r="AM45" i="17"/>
  <c r="AH45" i="17"/>
  <c r="AE45" i="17"/>
  <c r="AG45" i="17"/>
  <c r="AI45" i="17"/>
  <c r="AD40" i="17"/>
  <c r="AN40" i="17" s="1"/>
  <c r="AE40" i="17"/>
  <c r="AO40" i="17" s="1"/>
  <c r="AI40" i="17"/>
  <c r="AS40" i="17" s="1"/>
  <c r="AF40" i="17"/>
  <c r="AP40" i="17" s="1"/>
  <c r="AM40" i="17"/>
  <c r="AK40" i="17"/>
  <c r="AG40" i="17"/>
  <c r="AQ40" i="17" s="1"/>
  <c r="AH40" i="17"/>
  <c r="AR40" i="17" s="1"/>
  <c r="AJ40" i="17"/>
  <c r="AT40" i="17" s="1"/>
  <c r="AH44" i="17"/>
  <c r="AR44" i="17" s="1"/>
  <c r="AF44" i="17"/>
  <c r="AP44" i="17" s="1"/>
  <c r="AE44" i="17"/>
  <c r="AO44" i="17" s="1"/>
  <c r="AJ44" i="17"/>
  <c r="AT44" i="17" s="1"/>
  <c r="AI44" i="17"/>
  <c r="AS44" i="17" s="1"/>
  <c r="AD44" i="17"/>
  <c r="AN44" i="17" s="1"/>
  <c r="AM44" i="17"/>
  <c r="AK44" i="17"/>
  <c r="AU44" i="17" s="1"/>
  <c r="AG44" i="17"/>
  <c r="AQ44" i="17" s="1"/>
  <c r="AI41" i="17"/>
  <c r="AS41" i="17" s="1"/>
  <c r="AG41" i="17"/>
  <c r="AQ41" i="17" s="1"/>
  <c r="AJ41" i="17"/>
  <c r="AT41" i="17" s="1"/>
  <c r="AD41" i="17"/>
  <c r="AN41" i="17" s="1"/>
  <c r="AK41" i="17"/>
  <c r="AU41" i="17" s="1"/>
  <c r="AE41" i="17"/>
  <c r="AO41" i="17" s="1"/>
  <c r="AM41" i="17"/>
  <c r="AH41" i="17"/>
  <c r="AR41" i="17" s="1"/>
  <c r="AF41" i="17"/>
  <c r="AP41" i="17" s="1"/>
  <c r="P9" i="28"/>
  <c r="P11" i="28" s="1"/>
  <c r="I97" i="27"/>
  <c r="H25" i="27"/>
  <c r="L145" i="27"/>
  <c r="I95" i="27"/>
  <c r="L75" i="27"/>
  <c r="G55" i="27"/>
  <c r="H115" i="27"/>
  <c r="I129" i="27"/>
  <c r="H23" i="27"/>
  <c r="L135" i="27"/>
  <c r="G33" i="27"/>
  <c r="I36" i="27"/>
  <c r="L115" i="27"/>
  <c r="I45" i="27"/>
  <c r="I88" i="27"/>
  <c r="G143" i="27"/>
  <c r="I145" i="27"/>
  <c r="H13" i="27"/>
  <c r="G90" i="27"/>
  <c r="G26" i="27"/>
  <c r="L126" i="27"/>
  <c r="H106" i="27"/>
  <c r="L64" i="27"/>
  <c r="H53" i="27"/>
  <c r="L10" i="27"/>
  <c r="L11" i="27"/>
  <c r="H37" i="27"/>
  <c r="G54" i="27"/>
  <c r="L16" i="27"/>
  <c r="H46" i="27"/>
  <c r="I86" i="27"/>
  <c r="G122" i="27"/>
  <c r="I136" i="27"/>
  <c r="L61" i="27"/>
  <c r="H11" i="27"/>
  <c r="L100" i="27"/>
  <c r="G40" i="27"/>
  <c r="L129" i="27"/>
  <c r="L88" i="27"/>
  <c r="H34" i="27"/>
  <c r="L58" i="27"/>
  <c r="H90" i="27"/>
  <c r="L48" i="27"/>
  <c r="G99" i="27"/>
  <c r="H33" i="27"/>
  <c r="H149" i="27"/>
  <c r="L95" i="27"/>
  <c r="H49" i="27"/>
  <c r="L38" i="27"/>
  <c r="I44" i="27"/>
  <c r="H140" i="27"/>
  <c r="G58" i="27"/>
  <c r="L146" i="27"/>
  <c r="G108" i="27"/>
  <c r="L20" i="27"/>
  <c r="L118" i="27"/>
  <c r="G49" i="27"/>
  <c r="G131" i="27"/>
  <c r="I122" i="27"/>
  <c r="L86" i="27"/>
  <c r="I106" i="27"/>
  <c r="H81" i="27"/>
  <c r="L26" i="27"/>
  <c r="I74" i="27"/>
  <c r="H30" i="27"/>
  <c r="G62" i="27"/>
  <c r="H138" i="27"/>
  <c r="G65" i="27"/>
  <c r="L114" i="27"/>
  <c r="G77" i="27"/>
  <c r="H10" i="27"/>
  <c r="I137" i="27"/>
  <c r="I13" i="27"/>
  <c r="G56" i="27"/>
  <c r="H141" i="27"/>
  <c r="L91" i="27"/>
  <c r="H41" i="27"/>
  <c r="L25" i="27"/>
  <c r="I41" i="27"/>
  <c r="G21" i="27"/>
  <c r="G48" i="27"/>
  <c r="G136" i="27"/>
  <c r="I149" i="27"/>
  <c r="L106" i="27"/>
  <c r="I48" i="27"/>
  <c r="I24" i="27"/>
  <c r="G66" i="27"/>
  <c r="L47" i="27"/>
  <c r="G70" i="27"/>
  <c r="L17" i="27"/>
  <c r="G38" i="27"/>
  <c r="G130" i="27"/>
  <c r="H152" i="27"/>
  <c r="H57" i="27"/>
  <c r="G14" i="27"/>
  <c r="H146" i="27"/>
  <c r="G11" i="27"/>
  <c r="I133" i="27"/>
  <c r="L121" i="27"/>
  <c r="H40" i="27"/>
  <c r="I19" i="27"/>
  <c r="G79" i="27"/>
  <c r="H26" i="27"/>
  <c r="G78" i="27"/>
  <c r="I138" i="27"/>
  <c r="G76" i="27"/>
  <c r="G92" i="27"/>
  <c r="I47" i="27"/>
  <c r="H54" i="27"/>
  <c r="H125" i="27"/>
  <c r="I82" i="27"/>
  <c r="G63" i="27"/>
  <c r="H123" i="27"/>
  <c r="G151" i="27"/>
  <c r="I141" i="27"/>
  <c r="L87" i="27"/>
  <c r="H114" i="27"/>
  <c r="H55" i="27"/>
  <c r="G39" i="27"/>
  <c r="G50" i="27"/>
  <c r="G24" i="27"/>
  <c r="I153" i="27"/>
  <c r="I51" i="27"/>
  <c r="L147" i="27"/>
  <c r="I40" i="27"/>
  <c r="I60" i="27"/>
  <c r="G142" i="27"/>
  <c r="I123" i="27"/>
  <c r="L85" i="27"/>
  <c r="I102" i="27"/>
  <c r="I25" i="27"/>
  <c r="G95" i="27"/>
  <c r="H120" i="27"/>
  <c r="L31" i="27"/>
  <c r="I111" i="27"/>
  <c r="H29" i="27"/>
  <c r="I31" i="27"/>
  <c r="G12" i="27"/>
  <c r="I78" i="27"/>
  <c r="I126" i="27"/>
  <c r="I22" i="27"/>
  <c r="L90" i="27"/>
  <c r="I33" i="27"/>
  <c r="H24" i="27"/>
  <c r="L84" i="27"/>
  <c r="I42" i="27"/>
  <c r="L34" i="27"/>
  <c r="I35" i="27"/>
  <c r="I38" i="27"/>
  <c r="L37" i="27"/>
  <c r="H59" i="27"/>
  <c r="L125" i="27"/>
  <c r="L22" i="27"/>
  <c r="G74" i="27"/>
  <c r="H89" i="27"/>
  <c r="G112" i="27"/>
  <c r="H64" i="27"/>
  <c r="L45" i="27"/>
  <c r="I14" i="27"/>
  <c r="G13" i="27"/>
  <c r="I115" i="27"/>
  <c r="L103" i="27"/>
  <c r="I90" i="27"/>
  <c r="I9" i="27"/>
  <c r="H153" i="27"/>
  <c r="H51" i="27"/>
  <c r="L116" i="27"/>
  <c r="G81" i="27"/>
  <c r="G61" i="27"/>
  <c r="I148" i="27"/>
  <c r="L77" i="27"/>
  <c r="G32" i="27"/>
  <c r="I140" i="27"/>
  <c r="L46" i="27"/>
  <c r="H137" i="27"/>
  <c r="G57" i="27"/>
  <c r="H126" i="27"/>
  <c r="I84" i="27"/>
  <c r="L141" i="27"/>
  <c r="G15" i="27"/>
  <c r="L104" i="27"/>
  <c r="G110" i="27"/>
  <c r="I28" i="27"/>
  <c r="L89" i="27"/>
  <c r="H103" i="27"/>
  <c r="L66" i="27"/>
  <c r="H133" i="27"/>
  <c r="G144" i="27"/>
  <c r="H20" i="27"/>
  <c r="G106" i="27"/>
  <c r="H86" i="27"/>
  <c r="G98" i="27"/>
  <c r="H14" i="27"/>
  <c r="G73" i="27"/>
  <c r="I121" i="27"/>
  <c r="G125" i="27"/>
  <c r="I154" i="27"/>
  <c r="L74" i="27"/>
  <c r="G10" i="27"/>
  <c r="H17" i="27"/>
  <c r="G53" i="27"/>
  <c r="I134" i="27"/>
  <c r="L124" i="27"/>
  <c r="I73" i="27"/>
  <c r="L149" i="27"/>
  <c r="L42" i="27"/>
  <c r="G23" i="27"/>
  <c r="G94" i="27"/>
  <c r="I32" i="27"/>
  <c r="H113" i="27"/>
  <c r="G149" i="27"/>
  <c r="G102" i="27"/>
  <c r="G128" i="27"/>
  <c r="H121" i="27"/>
  <c r="G31" i="27"/>
  <c r="L134" i="27"/>
  <c r="H97" i="27"/>
  <c r="L52" i="27"/>
  <c r="H131" i="27"/>
  <c r="G123" i="27"/>
  <c r="H50" i="27"/>
  <c r="G97" i="27"/>
  <c r="H84" i="27"/>
  <c r="G89" i="27"/>
  <c r="L76" i="27"/>
  <c r="G72" i="27"/>
  <c r="H119" i="27"/>
  <c r="G16" i="27"/>
  <c r="H150" i="27"/>
  <c r="L51" i="27"/>
  <c r="I92" i="27"/>
  <c r="I85" i="27"/>
  <c r="G36" i="27"/>
  <c r="I127" i="27"/>
  <c r="G135" i="27"/>
  <c r="I146" i="27"/>
  <c r="L123" i="27"/>
  <c r="H99" i="27"/>
  <c r="I142" i="27"/>
  <c r="G64" i="27"/>
  <c r="H88" i="27"/>
  <c r="G82" i="27"/>
  <c r="G67" i="27"/>
  <c r="I43" i="27"/>
  <c r="I93" i="27"/>
  <c r="G132" i="27"/>
  <c r="I57" i="27"/>
  <c r="G114" i="27"/>
  <c r="I18" i="27"/>
  <c r="G88" i="27"/>
  <c r="H18" i="27"/>
  <c r="G22" i="27"/>
  <c r="L137" i="27"/>
  <c r="G71" i="27"/>
  <c r="I62" i="27"/>
  <c r="G68" i="27"/>
  <c r="H147" i="27"/>
  <c r="L99" i="27"/>
  <c r="H98" i="27"/>
  <c r="I83" i="27"/>
  <c r="G45" i="27"/>
  <c r="H124" i="27"/>
  <c r="G29" i="27"/>
  <c r="H143" i="27"/>
  <c r="L97" i="27"/>
  <c r="H73" i="27"/>
  <c r="I54" i="27"/>
  <c r="L78" i="27"/>
  <c r="G104" i="27"/>
  <c r="L8" i="27"/>
  <c r="H82" i="27"/>
  <c r="H139" i="27"/>
  <c r="L54" i="27"/>
  <c r="I132" i="27"/>
  <c r="I81" i="27"/>
  <c r="L92" i="27"/>
  <c r="L13" i="27"/>
  <c r="H127" i="27"/>
  <c r="I49" i="27"/>
  <c r="I10" i="27"/>
  <c r="H151" i="27"/>
  <c r="G152" i="27"/>
  <c r="H56" i="27"/>
  <c r="G105" i="27"/>
  <c r="I15" i="27"/>
  <c r="G87" i="27"/>
  <c r="H77" i="27"/>
  <c r="G83" i="27"/>
  <c r="L138" i="27"/>
  <c r="H43" i="27"/>
  <c r="H27" i="27"/>
  <c r="G59" i="27"/>
  <c r="I144" i="27"/>
  <c r="L136" i="27"/>
  <c r="I98" i="27"/>
  <c r="I21" i="27"/>
  <c r="G148" i="27"/>
  <c r="G37" i="27"/>
  <c r="I110" i="27"/>
  <c r="I119" i="27"/>
  <c r="G86" i="27"/>
  <c r="G34" i="27"/>
  <c r="G146" i="27"/>
  <c r="L120" i="27"/>
  <c r="L153" i="27"/>
  <c r="L63" i="27"/>
  <c r="G42" i="27"/>
  <c r="L9" i="27"/>
  <c r="L93" i="27"/>
  <c r="L50" i="27"/>
  <c r="I131" i="27"/>
  <c r="G113" i="27"/>
  <c r="I52" i="27"/>
  <c r="G96" i="27"/>
  <c r="L154" i="27"/>
  <c r="G17" i="27"/>
  <c r="L15" i="27"/>
  <c r="G18" i="27"/>
  <c r="L43" i="27"/>
  <c r="I99" i="27"/>
  <c r="H22" i="27"/>
  <c r="G51" i="27"/>
  <c r="H142" i="27"/>
  <c r="L131" i="27"/>
  <c r="I96" i="27"/>
  <c r="H79" i="27"/>
  <c r="G147" i="27"/>
  <c r="I53" i="27"/>
  <c r="G46" i="27"/>
  <c r="H134" i="27"/>
  <c r="L19" i="27"/>
  <c r="H111" i="27"/>
  <c r="I151" i="27"/>
  <c r="L98" i="27"/>
  <c r="L18" i="27"/>
  <c r="L139" i="27"/>
  <c r="I58" i="27"/>
  <c r="H101" i="27"/>
  <c r="H61" i="27"/>
  <c r="I8" i="27"/>
  <c r="I39" i="27"/>
  <c r="I120" i="27"/>
  <c r="I59" i="27"/>
  <c r="H7" i="27"/>
  <c r="I56" i="27"/>
  <c r="G103" i="27"/>
  <c r="I91" i="27"/>
  <c r="G93" i="27"/>
  <c r="L70" i="27"/>
  <c r="H100" i="27"/>
  <c r="L57" i="27"/>
  <c r="H92" i="27"/>
  <c r="L105" i="27"/>
  <c r="H47" i="27"/>
  <c r="I79" i="27"/>
  <c r="G43" i="27"/>
  <c r="H135" i="27"/>
  <c r="L83" i="27"/>
  <c r="I46" i="27"/>
  <c r="L144" i="27"/>
  <c r="G145" i="27"/>
  <c r="H80" i="27"/>
  <c r="G140" i="27"/>
  <c r="H130" i="27"/>
  <c r="L72" i="27"/>
  <c r="I107" i="27"/>
  <c r="G7" i="27"/>
  <c r="L44" i="27"/>
  <c r="H74" i="27"/>
  <c r="L21" i="27"/>
  <c r="H52" i="27"/>
  <c r="G101" i="27"/>
  <c r="L69" i="27"/>
  <c r="H32" i="27"/>
  <c r="L27" i="27"/>
  <c r="H39" i="27"/>
  <c r="L71" i="27"/>
  <c r="H35" i="27"/>
  <c r="L40" i="27"/>
  <c r="H38" i="27"/>
  <c r="L102" i="27"/>
  <c r="G8" i="27"/>
  <c r="H128" i="27"/>
  <c r="G28" i="27"/>
  <c r="H154" i="27"/>
  <c r="L60" i="27"/>
  <c r="I108" i="27"/>
  <c r="L41" i="27"/>
  <c r="G138" i="27"/>
  <c r="H122" i="27"/>
  <c r="G69" i="27"/>
  <c r="H60" i="27"/>
  <c r="G35" i="27"/>
  <c r="H107" i="27"/>
  <c r="I29" i="27"/>
  <c r="I114" i="27"/>
  <c r="I34" i="27"/>
  <c r="H148" i="27"/>
  <c r="I23" i="27"/>
  <c r="I37" i="27"/>
  <c r="H136" i="27"/>
  <c r="L59" i="27"/>
  <c r="L108" i="27"/>
  <c r="H15" i="27"/>
  <c r="L56" i="27"/>
  <c r="H19" i="27"/>
  <c r="H31" i="27"/>
  <c r="L67" i="27"/>
  <c r="H8" i="27"/>
  <c r="L151" i="27"/>
  <c r="H104" i="27"/>
  <c r="L7" i="27"/>
  <c r="H96" i="27"/>
  <c r="L152" i="27"/>
  <c r="L62" i="27"/>
  <c r="G41" i="27"/>
  <c r="I64" i="27"/>
  <c r="G60" i="27"/>
  <c r="I147" i="27"/>
  <c r="L96" i="27"/>
  <c r="H94" i="27"/>
  <c r="L122" i="27"/>
  <c r="G137" i="27"/>
  <c r="G47" i="27"/>
  <c r="L33" i="27"/>
  <c r="H21" i="27"/>
  <c r="G9" i="27"/>
  <c r="G119" i="27"/>
  <c r="G115" i="27"/>
  <c r="L24" i="27"/>
  <c r="H63" i="27"/>
  <c r="H9" i="27"/>
  <c r="L68" i="27"/>
  <c r="I77" i="27"/>
  <c r="H45" i="27"/>
  <c r="L150" i="27"/>
  <c r="H112" i="27"/>
  <c r="L111" i="27"/>
  <c r="H42" i="27"/>
  <c r="L30" i="27"/>
  <c r="H36" i="27"/>
  <c r="G127" i="27"/>
  <c r="I150" i="27"/>
  <c r="L127" i="27"/>
  <c r="I100" i="27"/>
  <c r="I27" i="27"/>
  <c r="G52" i="27"/>
  <c r="I130" i="27"/>
  <c r="L79" i="27"/>
  <c r="I94" i="27"/>
  <c r="L132" i="27"/>
  <c r="L32" i="27"/>
  <c r="I20" i="27"/>
  <c r="G150" i="27"/>
  <c r="L110" i="27"/>
  <c r="I112" i="27"/>
  <c r="G141" i="27"/>
  <c r="L39" i="27"/>
  <c r="L148" i="27"/>
  <c r="L113" i="27"/>
  <c r="I125" i="27"/>
  <c r="H110" i="27"/>
  <c r="H28" i="27"/>
  <c r="L142" i="27"/>
  <c r="L65" i="27"/>
  <c r="H95" i="27"/>
  <c r="L36" i="27"/>
  <c r="H75" i="27"/>
  <c r="L14" i="27"/>
  <c r="H48" i="27"/>
  <c r="L112" i="27"/>
  <c r="H44" i="27"/>
  <c r="G100" i="27"/>
  <c r="H144" i="27"/>
  <c r="H102" i="27"/>
  <c r="I17" i="27"/>
  <c r="I63" i="27"/>
  <c r="L130" i="27"/>
  <c r="L133" i="27"/>
  <c r="H12" i="27"/>
  <c r="G27" i="27"/>
  <c r="G75" i="27"/>
  <c r="I89" i="27"/>
  <c r="H105" i="27"/>
  <c r="L117" i="27"/>
  <c r="L80" i="27"/>
  <c r="G139" i="27"/>
  <c r="G126" i="27"/>
  <c r="G85" i="27"/>
  <c r="G133" i="27"/>
  <c r="L73" i="27"/>
  <c r="H93" i="27"/>
  <c r="L128" i="27"/>
  <c r="I109" i="27"/>
  <c r="L29" i="27"/>
  <c r="I105" i="27"/>
  <c r="L107" i="27"/>
  <c r="I101" i="27"/>
  <c r="G91" i="27"/>
  <c r="I139" i="27"/>
  <c r="L49" i="27"/>
  <c r="I11" i="27"/>
  <c r="H83" i="27"/>
  <c r="G44" i="27"/>
  <c r="H62" i="27"/>
  <c r="L81" i="27"/>
  <c r="H109" i="27"/>
  <c r="L94" i="27"/>
  <c r="H76" i="27"/>
  <c r="I80" i="27"/>
  <c r="G120" i="27"/>
  <c r="I16" i="27"/>
  <c r="I75" i="27"/>
  <c r="I76" i="27"/>
  <c r="G109" i="27"/>
  <c r="G107" i="27"/>
  <c r="G153" i="27"/>
  <c r="L55" i="27"/>
  <c r="G84" i="27"/>
  <c r="H129" i="27"/>
  <c r="G121" i="27"/>
  <c r="L23" i="27"/>
  <c r="I113" i="27"/>
  <c r="L12" i="27"/>
  <c r="I152" i="27"/>
  <c r="G134" i="27"/>
  <c r="I61" i="27"/>
  <c r="G20" i="27"/>
  <c r="G19" i="27"/>
  <c r="I135" i="27"/>
  <c r="I26" i="27"/>
  <c r="L119" i="27"/>
  <c r="H16" i="27"/>
  <c r="L143" i="27"/>
  <c r="L35" i="27"/>
  <c r="H108" i="27"/>
  <c r="I7" i="27"/>
  <c r="H132" i="27"/>
  <c r="I12" i="27"/>
  <c r="G129" i="27"/>
  <c r="I55" i="27"/>
  <c r="I124" i="27"/>
  <c r="G111" i="27"/>
  <c r="L140" i="27"/>
  <c r="L109" i="27"/>
  <c r="H145" i="27"/>
  <c r="G124" i="27"/>
  <c r="I30" i="27"/>
  <c r="G116" i="27"/>
  <c r="I87" i="27"/>
  <c r="G80" i="27"/>
  <c r="I128" i="27"/>
  <c r="L82" i="27"/>
  <c r="I103" i="27"/>
  <c r="L101" i="27"/>
  <c r="G154" i="27"/>
  <c r="H58" i="27"/>
  <c r="G25" i="27"/>
  <c r="I143" i="27"/>
  <c r="L28" i="27"/>
  <c r="I104" i="27"/>
  <c r="L53" i="27"/>
  <c r="G118" i="27"/>
  <c r="I50" i="27"/>
  <c r="G30" i="27"/>
  <c r="G117" i="27"/>
  <c r="H78" i="27"/>
  <c r="H87" i="27"/>
  <c r="H85" i="27"/>
  <c r="H91" i="27"/>
  <c r="AD43" i="17"/>
  <c r="AN43" i="17" s="1"/>
  <c r="AJ43" i="17"/>
  <c r="AT43" i="17" s="1"/>
  <c r="AF43" i="17"/>
  <c r="AP43" i="17" s="1"/>
  <c r="AI43" i="17"/>
  <c r="AS43" i="17" s="1"/>
  <c r="AH43" i="17"/>
  <c r="AR43" i="17" s="1"/>
  <c r="AE43" i="17"/>
  <c r="AO43" i="17" s="1"/>
  <c r="AK43" i="17"/>
  <c r="AU43" i="17" s="1"/>
  <c r="AG43" i="17"/>
  <c r="AQ43" i="17" s="1"/>
  <c r="AM43" i="17"/>
  <c r="BA47" i="17"/>
  <c r="AG42" i="17"/>
  <c r="AQ42" i="17" s="1"/>
  <c r="AJ42" i="17"/>
  <c r="AT42" i="17" s="1"/>
  <c r="AF42" i="17"/>
  <c r="AP42" i="17" s="1"/>
  <c r="AK42" i="17"/>
  <c r="AU42" i="17" s="1"/>
  <c r="AH42" i="17"/>
  <c r="AR42" i="17" s="1"/>
  <c r="AD42" i="17"/>
  <c r="AN42" i="17" s="1"/>
  <c r="AM42" i="17"/>
  <c r="AI42" i="17"/>
  <c r="AS42" i="17" s="1"/>
  <c r="AE42" i="17"/>
  <c r="AO42" i="17" s="1"/>
  <c r="AS45" i="17" l="1"/>
  <c r="H15" i="24" s="1"/>
  <c r="H21" i="24" s="1"/>
  <c r="AI47" i="17"/>
  <c r="R9" i="28"/>
  <c r="R11" i="28" s="1"/>
  <c r="AQ45" i="17"/>
  <c r="AG47" i="17"/>
  <c r="H7" i="28"/>
  <c r="H9" i="28" s="1"/>
  <c r="L7" i="28"/>
  <c r="L9" i="28" s="1"/>
  <c r="J7" i="28"/>
  <c r="J9" i="28" s="1"/>
  <c r="AO45" i="17"/>
  <c r="AE47" i="17"/>
  <c r="AR45" i="17"/>
  <c r="Q14" i="28" s="1"/>
  <c r="Q16" i="28" s="1"/>
  <c r="Q9" i="28"/>
  <c r="Q11" i="28" s="1"/>
  <c r="I7" i="28"/>
  <c r="I9" i="28" s="1"/>
  <c r="AH47" i="17"/>
  <c r="AM47" i="17"/>
  <c r="F14" i="24"/>
  <c r="P14" i="28"/>
  <c r="P16" i="28" s="1"/>
  <c r="F7" i="28"/>
  <c r="F9" i="28" s="1"/>
  <c r="AN45" i="17"/>
  <c r="E7" i="28"/>
  <c r="E9" i="28" s="1"/>
  <c r="AD47" i="17"/>
  <c r="AT45" i="17"/>
  <c r="K7" i="28"/>
  <c r="K9" i="28" s="1"/>
  <c r="AJ47" i="17"/>
  <c r="S9" i="28"/>
  <c r="S11" i="28" s="1"/>
  <c r="AP45" i="17"/>
  <c r="AF47" i="17"/>
  <c r="G7" i="28"/>
  <c r="G9" i="28" s="1"/>
  <c r="AU45" i="17"/>
  <c r="AK47" i="17"/>
  <c r="AU40" i="17"/>
  <c r="T9" i="28"/>
  <c r="T11" i="28" s="1"/>
  <c r="P21" i="28" l="1"/>
  <c r="P23" i="28" s="1"/>
  <c r="G15" i="24"/>
  <c r="K15" i="24" s="1"/>
  <c r="K21" i="24" s="1"/>
  <c r="F12" i="28"/>
  <c r="F14" i="28" s="1"/>
  <c r="AO47" i="17"/>
  <c r="AQ47" i="17"/>
  <c r="H12" i="28"/>
  <c r="H14" i="28" s="1"/>
  <c r="AS47" i="17"/>
  <c r="J12" i="28"/>
  <c r="J14" i="28" s="1"/>
  <c r="H14" i="24"/>
  <c r="S14" i="28"/>
  <c r="S16" i="28" s="1"/>
  <c r="R21" i="28"/>
  <c r="R23" i="28" s="1"/>
  <c r="AT47" i="17"/>
  <c r="K12" i="28"/>
  <c r="K14" i="28" s="1"/>
  <c r="I15" i="24"/>
  <c r="I21" i="24" s="1"/>
  <c r="I14" i="24"/>
  <c r="J15" i="24"/>
  <c r="J21" i="24" s="1"/>
  <c r="E12" i="28"/>
  <c r="E14" i="28" s="1"/>
  <c r="AN47" i="17"/>
  <c r="G12" i="28"/>
  <c r="G14" i="28" s="1"/>
  <c r="AP47" i="17"/>
  <c r="J14" i="24"/>
  <c r="Q21" i="28"/>
  <c r="Q23" i="28" s="1"/>
  <c r="L12" i="28"/>
  <c r="L14" i="28" s="1"/>
  <c r="T14" i="28"/>
  <c r="T16" i="28" s="1"/>
  <c r="S21" i="28"/>
  <c r="S23" i="28" s="1"/>
  <c r="AU47" i="17"/>
  <c r="F20" i="24"/>
  <c r="F16" i="24"/>
  <c r="F22" i="24" s="1"/>
  <c r="G14" i="24"/>
  <c r="I12" i="28"/>
  <c r="I14" i="28" s="1"/>
  <c r="AR47" i="17"/>
  <c r="R14" i="28"/>
  <c r="R16" i="28" s="1"/>
  <c r="G21" i="24" l="1"/>
  <c r="P17" i="28"/>
  <c r="K14" i="24"/>
  <c r="K20" i="24" s="1"/>
  <c r="I24" i="24" s="1"/>
  <c r="H20" i="24"/>
  <c r="H16" i="24"/>
  <c r="H22" i="24" s="1"/>
  <c r="I20" i="24"/>
  <c r="I16" i="24"/>
  <c r="I22" i="24" s="1"/>
  <c r="G20" i="24"/>
  <c r="G16" i="24"/>
  <c r="G22" i="24" s="1"/>
  <c r="J20" i="24"/>
  <c r="J16" i="24"/>
  <c r="J22" i="24" s="1"/>
  <c r="K16" i="24" l="1"/>
  <c r="K22" i="24" l="1"/>
  <c r="G82" i="2" l="1"/>
  <c r="J82" i="2" s="1"/>
  <c r="H65" i="27" s="1"/>
  <c r="K82" i="2" l="1"/>
  <c r="I65" i="27" s="1"/>
  <c r="G83" i="2"/>
  <c r="J83" i="2" s="1"/>
  <c r="H66" i="27" s="1"/>
  <c r="K83" i="2" l="1"/>
  <c r="I66" i="27" s="1"/>
  <c r="G84" i="2"/>
  <c r="J84" i="2" l="1"/>
  <c r="H67" i="27" s="1"/>
  <c r="K84" i="2"/>
  <c r="I67" i="27" s="1"/>
  <c r="G85" i="2"/>
  <c r="K85" i="2" l="1"/>
  <c r="I68" i="27" s="1"/>
  <c r="J85" i="2"/>
  <c r="H68" i="27" s="1"/>
  <c r="G86" i="2" l="1"/>
  <c r="K86" i="2" s="1"/>
  <c r="I69" i="27" s="1"/>
  <c r="J86" i="2" l="1"/>
  <c r="H69" i="27" s="1"/>
  <c r="G87" i="2"/>
  <c r="K87" i="2" l="1"/>
  <c r="I70" i="27" s="1"/>
  <c r="J87" i="2"/>
  <c r="H70" i="27" s="1"/>
  <c r="G88" i="2"/>
  <c r="J88" i="2" s="1"/>
  <c r="H71" i="27" s="1"/>
  <c r="K88" i="2" l="1"/>
  <c r="I71" i="27" s="1"/>
  <c r="G89" i="2"/>
  <c r="K89" i="2" l="1"/>
  <c r="I72" i="27" s="1"/>
  <c r="J89" i="2"/>
  <c r="H72" i="27" s="1"/>
  <c r="G163" i="2"/>
  <c r="K163" i="2" s="1"/>
  <c r="I116" i="27" s="1"/>
  <c r="AW5" i="17" l="1"/>
  <c r="AW20" i="17"/>
  <c r="AW12" i="17"/>
  <c r="AW19" i="17"/>
  <c r="AW41" i="17"/>
  <c r="J163" i="2"/>
  <c r="H116" i="27" s="1"/>
  <c r="AW33" i="17"/>
  <c r="AW27" i="17"/>
  <c r="AW13" i="17"/>
  <c r="AW40" i="17"/>
  <c r="AW6" i="17"/>
  <c r="AW34" i="17"/>
  <c r="AW26" i="17"/>
  <c r="G164" i="2"/>
  <c r="AW7" i="17" s="1"/>
  <c r="AW28" i="17" l="1"/>
  <c r="AW29" i="17"/>
  <c r="AW21" i="17"/>
  <c r="AW42" i="17"/>
  <c r="AW22" i="17"/>
  <c r="K164" i="2"/>
  <c r="I117" i="27" s="1"/>
  <c r="AW36" i="17"/>
  <c r="J164" i="2"/>
  <c r="H117" i="27" s="1"/>
  <c r="AW35" i="17"/>
  <c r="AW43" i="17"/>
  <c r="AW8" i="17"/>
  <c r="AW14" i="17"/>
  <c r="AW15" i="17"/>
  <c r="G165" i="2"/>
  <c r="AW9" i="17" s="1"/>
  <c r="AW23" i="17" l="1"/>
  <c r="AW31" i="17"/>
  <c r="K165" i="2"/>
  <c r="I118" i="27" s="1"/>
  <c r="AW17" i="17"/>
  <c r="AW44" i="17"/>
  <c r="AW37" i="17"/>
  <c r="AW38" i="17"/>
  <c r="J165" i="2"/>
  <c r="H118" i="27" s="1"/>
  <c r="AW10" i="17"/>
  <c r="AW24" i="17"/>
  <c r="AW45" i="17"/>
  <c r="AW16" i="17"/>
  <c r="AW30" i="17"/>
  <c r="L20" i="28" l="1"/>
  <c r="L23" i="28" s="1"/>
  <c r="L25" i="28" s="1"/>
  <c r="J20" i="28"/>
  <c r="J23" i="28" s="1"/>
  <c r="J25" i="28" s="1"/>
  <c r="L7" i="24"/>
  <c r="L9" i="24" s="1"/>
  <c r="G7" i="24"/>
  <c r="G9" i="24" s="1"/>
  <c r="G20" i="28"/>
  <c r="G23" i="28" s="1"/>
  <c r="G25" i="28" s="1"/>
  <c r="E20" i="28"/>
  <c r="E23" i="28" s="1"/>
  <c r="E25" i="28" s="1"/>
  <c r="H7" i="24"/>
  <c r="I7" i="24"/>
  <c r="I9" i="24" s="1"/>
  <c r="F20" i="28"/>
  <c r="F23" i="28" s="1"/>
  <c r="F25" i="28" s="1"/>
  <c r="I20" i="28"/>
  <c r="I23" i="28" s="1"/>
  <c r="I25" i="28" s="1"/>
  <c r="H20" i="28"/>
  <c r="H23" i="28" s="1"/>
  <c r="H25" i="28" s="1"/>
  <c r="K7" i="24"/>
  <c r="K9" i="24" s="1"/>
  <c r="F7" i="24"/>
  <c r="F9" i="24" s="1"/>
  <c r="K20" i="28"/>
  <c r="K23" i="28" s="1"/>
  <c r="K25" i="28" s="1"/>
  <c r="J7" i="24"/>
  <c r="J9" i="24" s="1"/>
  <c r="H9" i="24" l="1"/>
  <c r="D7" i="32" s="1"/>
  <c r="D5" i="32"/>
  <c r="H35" i="32" l="1"/>
  <c r="J35" i="32" s="1"/>
  <c r="H45" i="32"/>
  <c r="J45" i="32" s="1"/>
  <c r="H18" i="32"/>
  <c r="J18" i="32" s="1"/>
  <c r="H29" i="32"/>
  <c r="J29" i="32" s="1"/>
  <c r="H77" i="32"/>
  <c r="J77" i="32" s="1"/>
  <c r="H76" i="32"/>
  <c r="J76" i="32" s="1"/>
  <c r="H15" i="32"/>
  <c r="J15" i="32" s="1"/>
  <c r="H28" i="32"/>
  <c r="J28" i="32" s="1"/>
  <c r="H3" i="32"/>
  <c r="H59" i="32"/>
  <c r="J59" i="32" s="1"/>
  <c r="H37" i="32"/>
  <c r="J37" i="32" s="1"/>
  <c r="H46" i="32"/>
  <c r="J46" i="32" s="1"/>
  <c r="H41" i="32"/>
  <c r="J41" i="32" s="1"/>
  <c r="H74" i="32"/>
  <c r="J74" i="32" s="1"/>
  <c r="H69" i="32"/>
  <c r="J69" i="32" s="1"/>
  <c r="H16" i="32"/>
  <c r="J16" i="32" s="1"/>
  <c r="H47" i="32"/>
  <c r="J47" i="32" s="1"/>
  <c r="H73" i="32"/>
  <c r="J73" i="32" s="1"/>
  <c r="H55" i="32"/>
  <c r="J55" i="32" s="1"/>
  <c r="H38" i="32"/>
  <c r="J38" i="32" s="1"/>
  <c r="H80" i="32"/>
  <c r="J80" i="32" s="1"/>
  <c r="H79" i="32"/>
  <c r="J79" i="32" s="1"/>
  <c r="H50" i="32"/>
  <c r="J50" i="32" s="1"/>
  <c r="H52" i="32"/>
  <c r="J52" i="32" s="1"/>
  <c r="D22" i="32"/>
  <c r="E7" i="24" s="1"/>
  <c r="E9" i="24" s="1"/>
  <c r="H61" i="32"/>
  <c r="J61" i="32" s="1"/>
  <c r="H14" i="32"/>
  <c r="J14" i="32" s="1"/>
  <c r="H43" i="32"/>
  <c r="J43" i="32" s="1"/>
  <c r="H17" i="32"/>
  <c r="J17" i="32" s="1"/>
  <c r="H4" i="32"/>
  <c r="J4" i="32" s="1"/>
  <c r="H24" i="32"/>
  <c r="J24" i="32" s="1"/>
  <c r="H5" i="32"/>
  <c r="J5" i="32" s="1"/>
  <c r="C22" i="32"/>
  <c r="L15" i="24" s="1"/>
  <c r="H27" i="32"/>
  <c r="J27" i="32" s="1"/>
  <c r="H56" i="32"/>
  <c r="J56" i="32" s="1"/>
  <c r="H60" i="32"/>
  <c r="J60" i="32" s="1"/>
  <c r="H22" i="32"/>
  <c r="J22" i="32" s="1"/>
  <c r="H63" i="32"/>
  <c r="J63" i="32" s="1"/>
  <c r="H64" i="32"/>
  <c r="J64" i="32" s="1"/>
  <c r="H33" i="32"/>
  <c r="J33" i="32" s="1"/>
  <c r="H62" i="32"/>
  <c r="J62" i="32" s="1"/>
  <c r="H31" i="32"/>
  <c r="J31" i="32" s="1"/>
  <c r="H40" i="32"/>
  <c r="J40" i="32" s="1"/>
  <c r="H65" i="32"/>
  <c r="J65" i="32" s="1"/>
  <c r="H36" i="32"/>
  <c r="J36" i="32" s="1"/>
  <c r="H70" i="32"/>
  <c r="J70" i="32" s="1"/>
  <c r="H20" i="32"/>
  <c r="J20" i="32" s="1"/>
  <c r="H66" i="32"/>
  <c r="J66" i="32" s="1"/>
  <c r="H75" i="32"/>
  <c r="J75" i="32" s="1"/>
  <c r="H25" i="32"/>
  <c r="J25" i="32" s="1"/>
  <c r="H44" i="32"/>
  <c r="J44" i="32" s="1"/>
  <c r="H6" i="32"/>
  <c r="J6" i="32" s="1"/>
  <c r="H26" i="32"/>
  <c r="J26" i="32" s="1"/>
  <c r="H54" i="32"/>
  <c r="J54" i="32" s="1"/>
  <c r="H19" i="32"/>
  <c r="J19" i="32" s="1"/>
  <c r="H51" i="32"/>
  <c r="J51" i="32" s="1"/>
  <c r="H68" i="32"/>
  <c r="J68" i="32" s="1"/>
  <c r="H58" i="32"/>
  <c r="J58" i="32" s="1"/>
  <c r="H57" i="32"/>
  <c r="J57" i="32" s="1"/>
  <c r="H48" i="32"/>
  <c r="J48" i="32" s="1"/>
  <c r="H49" i="32"/>
  <c r="J49" i="32" s="1"/>
  <c r="H32" i="32"/>
  <c r="J32" i="32" s="1"/>
  <c r="H21" i="32"/>
  <c r="J21" i="32" s="1"/>
  <c r="H8" i="32"/>
  <c r="J8" i="32" s="1"/>
  <c r="H39" i="32"/>
  <c r="J39" i="32" s="1"/>
  <c r="H10" i="32"/>
  <c r="J10" i="32" s="1"/>
  <c r="H34" i="32"/>
  <c r="J34" i="32" s="1"/>
  <c r="H23" i="32"/>
  <c r="J23" i="32" s="1"/>
  <c r="H42" i="32"/>
  <c r="J42" i="32" s="1"/>
  <c r="H11" i="32"/>
  <c r="J11" i="32" s="1"/>
  <c r="H9" i="32"/>
  <c r="J9" i="32" s="1"/>
  <c r="H72" i="32"/>
  <c r="J72" i="32" s="1"/>
  <c r="H67" i="32"/>
  <c r="J67" i="32" s="1"/>
  <c r="H12" i="32"/>
  <c r="J12" i="32" s="1"/>
  <c r="H7" i="32"/>
  <c r="J7" i="32" s="1"/>
  <c r="H13" i="32"/>
  <c r="J13" i="32" s="1"/>
  <c r="H30" i="32"/>
  <c r="J30" i="32" s="1"/>
  <c r="H78" i="32"/>
  <c r="J78" i="32" s="1"/>
  <c r="H71" i="32"/>
  <c r="J71" i="32" s="1"/>
  <c r="H53" i="32"/>
  <c r="J53" i="32" s="1"/>
  <c r="K22" i="32"/>
  <c r="K80" i="32"/>
  <c r="K45" i="32"/>
  <c r="K71" i="32"/>
  <c r="K17" i="32"/>
  <c r="K51" i="32"/>
  <c r="K65" i="32"/>
  <c r="K3" i="32"/>
  <c r="K62" i="32"/>
  <c r="K6" i="32"/>
  <c r="K61" i="32"/>
  <c r="K33" i="32"/>
  <c r="K9" i="32"/>
  <c r="K53" i="32"/>
  <c r="K47" i="32"/>
  <c r="K58" i="32"/>
  <c r="K26" i="32"/>
  <c r="K67" i="32"/>
  <c r="K23" i="32"/>
  <c r="K32" i="32"/>
  <c r="K31" i="32"/>
  <c r="K64" i="32"/>
  <c r="K38" i="32"/>
  <c r="K20" i="32"/>
  <c r="K28" i="32"/>
  <c r="K73" i="32"/>
  <c r="K78" i="32"/>
  <c r="K29" i="32"/>
  <c r="K25" i="32"/>
  <c r="K4" i="32"/>
  <c r="K70" i="32"/>
  <c r="K44" i="32"/>
  <c r="K15" i="32"/>
  <c r="K37" i="32"/>
  <c r="K36" i="32"/>
  <c r="K46" i="32"/>
  <c r="K34" i="32"/>
  <c r="K7" i="32"/>
  <c r="K12" i="32"/>
  <c r="K35" i="32"/>
  <c r="K5" i="32"/>
  <c r="K10" i="32"/>
  <c r="K50" i="32"/>
  <c r="K21" i="32"/>
  <c r="K74" i="32"/>
  <c r="D24" i="32"/>
  <c r="K8" i="32"/>
  <c r="K66" i="32"/>
  <c r="K79" i="32"/>
  <c r="K54" i="32"/>
  <c r="K75" i="32"/>
  <c r="K42" i="32"/>
  <c r="K11" i="32"/>
  <c r="K76" i="32"/>
  <c r="K77" i="32"/>
  <c r="K24" i="32"/>
  <c r="K60" i="32"/>
  <c r="K63" i="32"/>
  <c r="K39" i="32"/>
  <c r="K72" i="32"/>
  <c r="K14" i="32"/>
  <c r="K13" i="32"/>
  <c r="K49" i="32"/>
  <c r="K55" i="32"/>
  <c r="K57" i="32"/>
  <c r="K56" i="32"/>
  <c r="K59" i="32"/>
  <c r="K16" i="32"/>
  <c r="K69" i="32"/>
  <c r="K18" i="32"/>
  <c r="K19" i="32"/>
  <c r="K43" i="32"/>
  <c r="K40" i="32"/>
  <c r="K52" i="32"/>
  <c r="K68" i="32"/>
  <c r="K48" i="32"/>
  <c r="K41" i="32"/>
  <c r="K27" i="32"/>
  <c r="C24" i="32"/>
  <c r="K30" i="32"/>
  <c r="N7" i="32" l="1"/>
  <c r="N10" i="32" s="1"/>
  <c r="J3" i="32"/>
  <c r="N9" i="32"/>
  <c r="L21" i="24"/>
  <c r="I29" i="24"/>
  <c r="L16" i="24"/>
  <c r="I25" i="24" l="1"/>
  <c r="I31" i="24"/>
  <c r="L22" i="24"/>
  <c r="J29" i="24"/>
  <c r="J31" i="24" l="1"/>
  <c r="I26" i="24"/>
  <c r="K4"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Sabra Zaraa</author>
  </authors>
  <commentList>
    <comment ref="J31" authorId="0" shapeId="0" xr:uid="{80603FB3-63CD-A84E-B278-5D14B0920A14}">
      <text>
        <r>
          <rPr>
            <b/>
            <sz val="10"/>
            <color rgb="FF000000"/>
            <rFont val="Tahoma"/>
            <family val="2"/>
          </rPr>
          <t xml:space="preserve">Model Note:
</t>
        </r>
        <r>
          <rPr>
            <sz val="10"/>
            <color rgb="FF000000"/>
            <rFont val="Calibri"/>
            <family val="2"/>
          </rPr>
          <t xml:space="preserve">View note in this cell
</t>
        </r>
        <r>
          <rPr>
            <sz val="10"/>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Sabra Zaraa</author>
  </authors>
  <commentList>
    <comment ref="I3" authorId="0" shapeId="0" xr:uid="{796DF342-4E66-BA42-83DE-E5397BAD9382}">
      <text>
        <r>
          <rPr>
            <b/>
            <sz val="10"/>
            <color rgb="FF000000"/>
            <rFont val="Tahoma"/>
            <family val="2"/>
          </rPr>
          <t>Model Note:</t>
        </r>
        <r>
          <rPr>
            <sz val="10"/>
            <color rgb="FF000000"/>
            <rFont val="Tahoma"/>
            <family val="2"/>
          </rPr>
          <t xml:space="preserve">
</t>
        </r>
        <r>
          <rPr>
            <sz val="10"/>
            <color rgb="FF000000"/>
            <rFont val="Tahoma"/>
            <family val="2"/>
          </rPr>
          <t>Please note, as this is a generalized model that can be used for any medicine and any country, the default values provided here are placeholders that should be cutomized to reflect data on the medicine and country of interest.</t>
        </r>
      </text>
    </comment>
    <comment ref="L3" authorId="0" shapeId="0" xr:uid="{4B99DBAD-0E78-3443-879E-DEA48D9B758B}">
      <text>
        <r>
          <rPr>
            <b/>
            <sz val="10"/>
            <color rgb="FF000000"/>
            <rFont val="Tahoma"/>
            <family val="2"/>
          </rPr>
          <t>Model Note:</t>
        </r>
        <r>
          <rPr>
            <sz val="10"/>
            <color rgb="FF000000"/>
            <rFont val="Tahoma"/>
            <family val="2"/>
          </rPr>
          <t xml:space="preserve">
</t>
        </r>
        <r>
          <rPr>
            <sz val="10"/>
            <color rgb="FF000000"/>
            <rFont val="Tahoma"/>
            <family val="2"/>
          </rPr>
          <t>If you would like to include this input in the sensitivity analysis, this should be =1, otherwise = 0.</t>
        </r>
      </text>
    </comment>
    <comment ref="E9" authorId="0" shapeId="0" xr:uid="{CA48F0D2-A11E-5948-9E54-51A36A93E52F}">
      <text>
        <r>
          <rPr>
            <b/>
            <sz val="10"/>
            <color rgb="FF000000"/>
            <rFont val="Tahoma"/>
            <family val="2"/>
          </rPr>
          <t>Model Note :</t>
        </r>
        <r>
          <rPr>
            <sz val="10"/>
            <color rgb="FF000000"/>
            <rFont val="Tahoma"/>
            <family val="2"/>
          </rPr>
          <t xml:space="preserve">
</t>
        </r>
        <r>
          <rPr>
            <sz val="10"/>
            <color rgb="FF000000"/>
            <rFont val="Tahoma"/>
            <family val="2"/>
          </rPr>
          <t>If there are no other sectors in the healthcare system of the country of interest, please leave variable input at 0%</t>
        </r>
      </text>
    </comment>
    <comment ref="E16" authorId="0" shapeId="0" xr:uid="{03C79188-4D4A-2C43-BE08-93ECC61A73D6}">
      <text>
        <r>
          <rPr>
            <b/>
            <sz val="10"/>
            <color rgb="FF000000"/>
            <rFont val="Tahoma"/>
            <family val="2"/>
          </rPr>
          <t>Model Note:</t>
        </r>
        <r>
          <rPr>
            <sz val="10"/>
            <color rgb="FF000000"/>
            <rFont val="Tahoma"/>
            <family val="2"/>
          </rPr>
          <t xml:space="preserve">
</t>
        </r>
        <r>
          <rPr>
            <sz val="10"/>
            <color rgb="FF000000"/>
            <rFont val="Calibri"/>
            <family val="2"/>
          </rPr>
          <t xml:space="preserve">Must add up to 100%
</t>
        </r>
      </text>
    </comment>
    <comment ref="E17" authorId="0" shapeId="0" xr:uid="{63307E2A-0453-C045-BAB9-43C10278B590}">
      <text>
        <r>
          <rPr>
            <b/>
            <sz val="10"/>
            <color rgb="FF000000"/>
            <rFont val="Tahoma"/>
            <family val="2"/>
          </rPr>
          <t>Model Note:</t>
        </r>
        <r>
          <rPr>
            <sz val="10"/>
            <color rgb="FF000000"/>
            <rFont val="Tahoma"/>
            <family val="2"/>
          </rPr>
          <t xml:space="preserve">
</t>
        </r>
        <r>
          <rPr>
            <sz val="10"/>
            <color rgb="FF000000"/>
            <rFont val="Tahoma"/>
            <family val="2"/>
          </rPr>
          <t>Must add up to 100%</t>
        </r>
      </text>
    </comment>
    <comment ref="E18" authorId="0" shapeId="0" xr:uid="{3DADB2C0-4250-7040-94A5-C6893CDF1C41}">
      <text>
        <r>
          <rPr>
            <b/>
            <sz val="10"/>
            <color rgb="FF000000"/>
            <rFont val="Tahoma"/>
            <family val="2"/>
          </rPr>
          <t>Model Note:</t>
        </r>
        <r>
          <rPr>
            <sz val="10"/>
            <color rgb="FF000000"/>
            <rFont val="Tahoma"/>
            <family val="2"/>
          </rPr>
          <t xml:space="preserve">
</t>
        </r>
        <r>
          <rPr>
            <sz val="10"/>
            <color rgb="FF000000"/>
            <rFont val="Tahoma"/>
            <family val="2"/>
          </rPr>
          <t>Must add up to 100%</t>
        </r>
      </text>
    </comment>
    <comment ref="E28" authorId="0" shapeId="0" xr:uid="{58037DC0-C352-E847-AB29-9983E424DFF1}">
      <text>
        <r>
          <rPr>
            <b/>
            <sz val="10"/>
            <color rgb="FF000000"/>
            <rFont val="Tahoma"/>
            <family val="2"/>
          </rPr>
          <t>Model Note:</t>
        </r>
        <r>
          <rPr>
            <sz val="10"/>
            <color rgb="FF000000"/>
            <rFont val="Tahoma"/>
            <family val="2"/>
          </rPr>
          <t xml:space="preserve">
</t>
        </r>
        <r>
          <rPr>
            <sz val="10"/>
            <color rgb="FF000000"/>
            <rFont val="Tahoma"/>
            <family val="2"/>
          </rPr>
          <t>Must add up to 100%</t>
        </r>
      </text>
    </comment>
    <comment ref="E38" authorId="0" shapeId="0" xr:uid="{F633F309-C51A-CB4F-A286-F88A6F08FB09}">
      <text>
        <r>
          <rPr>
            <b/>
            <sz val="10"/>
            <color rgb="FF000000"/>
            <rFont val="Tahoma"/>
            <family val="2"/>
          </rPr>
          <t>Model Note:</t>
        </r>
        <r>
          <rPr>
            <sz val="10"/>
            <color rgb="FF000000"/>
            <rFont val="Tahoma"/>
            <family val="2"/>
          </rPr>
          <t xml:space="preserve">
</t>
        </r>
        <r>
          <rPr>
            <sz val="10"/>
            <color rgb="FF000000"/>
            <rFont val="Tahoma"/>
            <family val="2"/>
          </rPr>
          <t>It is recommended not to modify the model assumptions unless it is based on evidence for a given medicine.</t>
        </r>
      </text>
    </comment>
    <comment ref="H40" authorId="0" shapeId="0" xr:uid="{7F0AE93B-98AD-C540-A195-19BDB6CFDA37}">
      <text>
        <r>
          <rPr>
            <b/>
            <sz val="10"/>
            <color rgb="FF000000"/>
            <rFont val="Tahoma"/>
            <family val="2"/>
          </rPr>
          <t>Model Note:</t>
        </r>
        <r>
          <rPr>
            <sz val="10"/>
            <color rgb="FF000000"/>
            <rFont val="Tahoma"/>
            <family val="2"/>
          </rPr>
          <t xml:space="preserve">
</t>
        </r>
        <r>
          <rPr>
            <sz val="10"/>
            <color rgb="FF000000"/>
            <rFont val="Calibri"/>
            <family val="2"/>
          </rPr>
          <t xml:space="preserve">These are the model's key assumptions. Do not modify unless it is based on evidence for a given medicine.
</t>
        </r>
        <r>
          <rPr>
            <sz val="10"/>
            <color rgb="FF000000"/>
            <rFont val="Calibri"/>
            <family val="2"/>
          </rPr>
          <t xml:space="preserve">
</t>
        </r>
      </text>
    </comment>
    <comment ref="H41" authorId="0" shapeId="0" xr:uid="{323C6E00-BA10-6245-8114-689093F947F5}">
      <text>
        <r>
          <rPr>
            <b/>
            <sz val="10"/>
            <color rgb="FF000000"/>
            <rFont val="Tahoma"/>
            <family val="2"/>
          </rPr>
          <t xml:space="preserve">Model Note: </t>
        </r>
        <r>
          <rPr>
            <sz val="10"/>
            <color rgb="FF000000"/>
            <rFont val="Tahoma"/>
            <family val="2"/>
          </rPr>
          <t xml:space="preserve">
</t>
        </r>
        <r>
          <rPr>
            <sz val="10"/>
            <color rgb="FF000000"/>
            <rFont val="Calibri"/>
            <family val="2"/>
          </rPr>
          <t xml:space="preserve">These are the model's key assumptions. Do not modify unless it is based on evidence for a given medicine.
</t>
        </r>
      </text>
    </comment>
    <comment ref="H42" authorId="0" shapeId="0" xr:uid="{1A57D4BF-49D2-1249-9FEA-B845FC3267C9}">
      <text>
        <r>
          <rPr>
            <b/>
            <sz val="10"/>
            <color rgb="FF000000"/>
            <rFont val="Tahoma"/>
            <family val="2"/>
          </rPr>
          <t>Model Note:</t>
        </r>
        <r>
          <rPr>
            <sz val="10"/>
            <color rgb="FF000000"/>
            <rFont val="Tahoma"/>
            <family val="2"/>
          </rPr>
          <t xml:space="preserve">
</t>
        </r>
        <r>
          <rPr>
            <sz val="10"/>
            <color rgb="FF000000"/>
            <rFont val="Calibri"/>
            <family val="2"/>
          </rPr>
          <t xml:space="preserve">These are the model's key assumptions. Do not modify unless it is based on evidence for a given medicine.
</t>
        </r>
      </text>
    </comment>
    <comment ref="E69" authorId="0" shapeId="0" xr:uid="{F0486148-5D2C-714B-A547-9C621B9E5784}">
      <text>
        <r>
          <rPr>
            <b/>
            <sz val="10"/>
            <color rgb="FF000000"/>
            <rFont val="Tahoma"/>
            <family val="2"/>
          </rPr>
          <t>Model Note:</t>
        </r>
        <r>
          <rPr>
            <sz val="10"/>
            <color rgb="FF000000"/>
            <rFont val="Tahoma"/>
            <family val="2"/>
          </rPr>
          <t xml:space="preserve">
</t>
        </r>
        <r>
          <rPr>
            <sz val="10"/>
            <color rgb="FF000000"/>
            <rFont val="Tahoma"/>
            <family val="2"/>
          </rPr>
          <t>To calculate the productivity loss, please enter the number of sick days with and without treatment for each disease-specific outcome</t>
        </r>
      </text>
    </comment>
    <comment ref="E103" authorId="0" shapeId="0" xr:uid="{B1F5BD8D-82B2-CE4A-AA4B-784FB03791EF}">
      <text>
        <r>
          <rPr>
            <b/>
            <sz val="10"/>
            <color rgb="FF000000"/>
            <rFont val="Tahoma"/>
            <family val="2"/>
          </rPr>
          <t>Model Note:</t>
        </r>
        <r>
          <rPr>
            <sz val="10"/>
            <color rgb="FF000000"/>
            <rFont val="Tahoma"/>
            <family val="2"/>
          </rPr>
          <t xml:space="preserve">
</t>
        </r>
        <r>
          <rPr>
            <sz val="10"/>
            <color rgb="FF000000"/>
            <rFont val="Tahoma"/>
            <family val="2"/>
          </rPr>
          <t xml:space="preserve">These are treatment location-specific values for the variables you entered above. </t>
        </r>
      </text>
    </comment>
    <comment ref="E106" authorId="0" shapeId="0" xr:uid="{4BB99D6F-2C3E-5E4B-8247-A4733414CED5}">
      <text>
        <r>
          <rPr>
            <b/>
            <sz val="10"/>
            <color rgb="FF000000"/>
            <rFont val="Tahoma"/>
            <family val="34"/>
          </rPr>
          <t>Model Note:</t>
        </r>
        <r>
          <rPr>
            <sz val="10"/>
            <color rgb="FF000000"/>
            <rFont val="Tahoma"/>
            <family val="34"/>
          </rPr>
          <t xml:space="preserve">
</t>
        </r>
        <r>
          <rPr>
            <sz val="10"/>
            <color rgb="FF000000"/>
            <rFont val="Tahoma"/>
            <family val="34"/>
          </rPr>
          <t>Unless customized, the model assumes the proportion of SF medicines is the same as the general value already provided above.</t>
        </r>
        <r>
          <rPr>
            <sz val="10"/>
            <color rgb="FF000000"/>
            <rFont val="Tahoma"/>
            <family val="34"/>
          </rPr>
          <t xml:space="preserve">
</t>
        </r>
      </text>
    </comment>
    <comment ref="H111" authorId="0" shapeId="0" xr:uid="{47101A38-6B08-BA49-9929-7D04B4525FC8}">
      <text>
        <r>
          <rPr>
            <b/>
            <sz val="10"/>
            <color rgb="FF000000"/>
            <rFont val="Tahoma"/>
            <family val="2"/>
          </rPr>
          <t xml:space="preserve">Model Note:
</t>
        </r>
        <r>
          <rPr>
            <sz val="10"/>
            <color rgb="FF000000"/>
            <rFont val="Tahoma"/>
            <family val="2"/>
          </rPr>
          <t xml:space="preserve">Please update the proportions of SF1, SF2 and SF3. This will automatically be updated.
</t>
        </r>
      </text>
    </comment>
    <comment ref="K111" authorId="0" shapeId="0" xr:uid="{D4CE1CE8-817B-AE41-A05C-DFCF8455CDB0}">
      <text>
        <r>
          <rPr>
            <b/>
            <sz val="10"/>
            <color rgb="FF000000"/>
            <rFont val="Tahoma"/>
            <family val="2"/>
          </rPr>
          <t>Model Note:</t>
        </r>
        <r>
          <rPr>
            <sz val="10"/>
            <color rgb="FF000000"/>
            <rFont val="Tahoma"/>
            <family val="2"/>
          </rPr>
          <t xml:space="preserve">
</t>
        </r>
        <r>
          <rPr>
            <sz val="10"/>
            <color rgb="FF000000"/>
            <rFont val="Tahoma"/>
            <family val="2"/>
          </rPr>
          <t>Do not modify these values</t>
        </r>
      </text>
    </comment>
    <comment ref="K115" authorId="0" shapeId="0" xr:uid="{1A6FD5E8-D6EA-8249-8018-83CA7313054A}">
      <text>
        <r>
          <rPr>
            <b/>
            <sz val="10"/>
            <color rgb="FF000000"/>
            <rFont val="Tahoma"/>
            <family val="2"/>
          </rPr>
          <t>Model Note:</t>
        </r>
        <r>
          <rPr>
            <sz val="10"/>
            <color rgb="FF000000"/>
            <rFont val="Tahoma"/>
            <family val="2"/>
          </rPr>
          <t xml:space="preserve">
</t>
        </r>
        <r>
          <rPr>
            <sz val="10"/>
            <color rgb="FF000000"/>
            <rFont val="Tahoma"/>
            <family val="2"/>
          </rPr>
          <t>Do not modify these values</t>
        </r>
      </text>
    </comment>
    <comment ref="K119" authorId="0" shapeId="0" xr:uid="{9032ADCF-5C3C-F04D-8D0D-A872D4352650}">
      <text>
        <r>
          <rPr>
            <b/>
            <sz val="10"/>
            <color rgb="FF000000"/>
            <rFont val="Tahoma"/>
            <family val="2"/>
          </rPr>
          <t>Model Note:</t>
        </r>
        <r>
          <rPr>
            <sz val="10"/>
            <color rgb="FF000000"/>
            <rFont val="Tahoma"/>
            <family val="2"/>
          </rPr>
          <t xml:space="preserve">
</t>
        </r>
        <r>
          <rPr>
            <sz val="10"/>
            <color rgb="FF000000"/>
            <rFont val="Tahoma"/>
            <family val="2"/>
          </rPr>
          <t>Do not modify these values</t>
        </r>
      </text>
    </comment>
    <comment ref="K123" authorId="0" shapeId="0" xr:uid="{90C7D434-7FC8-514E-8555-E6639D7B9845}">
      <text>
        <r>
          <rPr>
            <b/>
            <sz val="10"/>
            <color rgb="FF000000"/>
            <rFont val="Tahoma"/>
            <family val="2"/>
          </rPr>
          <t>Model Note:</t>
        </r>
        <r>
          <rPr>
            <sz val="10"/>
            <color rgb="FF000000"/>
            <rFont val="Tahoma"/>
            <family val="2"/>
          </rPr>
          <t xml:space="preserve">
</t>
        </r>
        <r>
          <rPr>
            <sz val="10"/>
            <color rgb="FF000000"/>
            <rFont val="Tahoma"/>
            <family val="2"/>
          </rPr>
          <t>Do not modify these values</t>
        </r>
      </text>
    </comment>
    <comment ref="K127" authorId="0" shapeId="0" xr:uid="{2E98E03E-11EC-AE45-B3C5-11FEBA0BEA2A}">
      <text>
        <r>
          <rPr>
            <b/>
            <sz val="10"/>
            <color rgb="FF000000"/>
            <rFont val="Tahoma"/>
            <family val="2"/>
          </rPr>
          <t>Model Note:</t>
        </r>
        <r>
          <rPr>
            <sz val="10"/>
            <color rgb="FF000000"/>
            <rFont val="Tahoma"/>
            <family val="2"/>
          </rPr>
          <t xml:space="preserve">
</t>
        </r>
        <r>
          <rPr>
            <sz val="10"/>
            <color rgb="FF000000"/>
            <rFont val="Tahoma"/>
            <family val="2"/>
          </rPr>
          <t>Do not modify these values</t>
        </r>
      </text>
    </comment>
    <comment ref="K131" authorId="0" shapeId="0" xr:uid="{C6974805-50D9-6B4E-B294-24DAF5746378}">
      <text>
        <r>
          <rPr>
            <b/>
            <sz val="10"/>
            <color rgb="FF000000"/>
            <rFont val="Tahoma"/>
            <family val="2"/>
          </rPr>
          <t>Model Note:</t>
        </r>
        <r>
          <rPr>
            <sz val="10"/>
            <color rgb="FF000000"/>
            <rFont val="Tahoma"/>
            <family val="2"/>
          </rPr>
          <t xml:space="preserve">
</t>
        </r>
        <r>
          <rPr>
            <sz val="10"/>
            <color rgb="FF000000"/>
            <rFont val="Tahoma"/>
            <family val="2"/>
          </rPr>
          <t>Do not modify these values</t>
        </r>
      </text>
    </comment>
    <comment ref="E133" authorId="0" shapeId="0" xr:uid="{A93B85C8-B572-824A-A8AE-5E2E7E6BC515}">
      <text>
        <r>
          <rPr>
            <b/>
            <sz val="10"/>
            <color rgb="FF000000"/>
            <rFont val="Tahoma"/>
            <family val="2"/>
          </rPr>
          <t>Model Note:</t>
        </r>
        <r>
          <rPr>
            <sz val="10"/>
            <color rgb="FF000000"/>
            <rFont val="Tahoma"/>
            <family val="2"/>
          </rPr>
          <t xml:space="preserve">
</t>
        </r>
        <r>
          <rPr>
            <sz val="10"/>
            <color rgb="FF000000"/>
            <rFont val="Tahoma"/>
            <family val="2"/>
          </rPr>
          <t>In the ideal world-scenario, the proporion os SF medicines should always be set to 0% and Standard quality to 100% to estimate the incremental burden of SF medicines.</t>
        </r>
      </text>
    </comment>
    <comment ref="J168" authorId="0" shapeId="0" xr:uid="{E9478638-A2C8-1A4E-BEB7-0A6CF4E0AA9A}">
      <text>
        <r>
          <rPr>
            <b/>
            <sz val="10"/>
            <color rgb="FF000000"/>
            <rFont val="Tahoma"/>
            <family val="2"/>
          </rPr>
          <t xml:space="preserve">Model Note:
</t>
        </r>
        <r>
          <rPr>
            <sz val="10"/>
            <color rgb="FF000000"/>
            <rFont val="Tahoma"/>
            <family val="2"/>
          </rPr>
          <t xml:space="preserve">If data on the uncertainty range are unavailable, the model user can use +/- 20% range and interpret findings cautiously.
</t>
        </r>
      </text>
    </comment>
  </commentList>
</comments>
</file>

<file path=xl/sharedStrings.xml><?xml version="1.0" encoding="utf-8"?>
<sst xmlns="http://schemas.openxmlformats.org/spreadsheetml/2006/main" count="1391" uniqueCount="716">
  <si>
    <t>Model to Estimate Burden of Use of Substandard and Falsified Medical Products</t>
  </si>
  <si>
    <t>Overview</t>
  </si>
  <si>
    <t>Model Overview:</t>
  </si>
  <si>
    <t>Model Structure:</t>
  </si>
  <si>
    <r>
      <rPr>
        <b/>
        <u/>
        <sz val="12"/>
        <color theme="1"/>
        <rFont val="Calibri (Body)"/>
      </rPr>
      <t xml:space="preserve">Objective: </t>
    </r>
    <r>
      <rPr>
        <sz val="12"/>
        <color theme="1"/>
        <rFont val="Calibri (Body)"/>
      </rPr>
      <t xml:space="preserve">The primary aim of this generalized tool is to estimate the health and economic burden of any specific Substandard and </t>
    </r>
  </si>
  <si>
    <t>Setting</t>
  </si>
  <si>
    <t>Falsified Medical product</t>
  </si>
  <si>
    <r>
      <rPr>
        <b/>
        <u/>
        <sz val="12"/>
        <color theme="1"/>
        <rFont val="Calibri (Body)"/>
      </rPr>
      <t xml:space="preserve">Methods: </t>
    </r>
    <r>
      <rPr>
        <sz val="12"/>
        <color theme="1"/>
        <rFont val="Calibri (Body)"/>
      </rPr>
      <t xml:space="preserve">We used a decision-tree model where we compare two scenarios. </t>
    </r>
  </si>
  <si>
    <t>Model Inputs</t>
  </si>
  <si>
    <r>
      <rPr>
        <i/>
        <sz val="12"/>
        <color theme="1"/>
        <rFont val="Calibri"/>
        <family val="2"/>
        <scheme val="minor"/>
      </rPr>
      <t>Scenario 1</t>
    </r>
    <r>
      <rPr>
        <sz val="12"/>
        <color theme="1"/>
        <rFont val="Calibri"/>
        <family val="2"/>
        <scheme val="minor"/>
      </rPr>
      <t>: Real-world scenario that reflects the prevalence of SF medicines in a given country for a specific medicine</t>
    </r>
  </si>
  <si>
    <r>
      <rPr>
        <i/>
        <sz val="12"/>
        <color theme="1"/>
        <rFont val="Calibri"/>
        <family val="2"/>
        <scheme val="minor"/>
      </rPr>
      <t xml:space="preserve">Scenario 2 </t>
    </r>
    <r>
      <rPr>
        <sz val="12"/>
        <color theme="1"/>
        <rFont val="Calibri"/>
        <family val="2"/>
        <scheme val="minor"/>
      </rPr>
      <t>: Ideal-world scenario where there are no SF medicines</t>
    </r>
  </si>
  <si>
    <t>Comparing these two scenarios allows us to estimate the incremental health and economic burden of SF medicines.</t>
  </si>
  <si>
    <t>Model</t>
  </si>
  <si>
    <r>
      <rPr>
        <i/>
        <u/>
        <sz val="12"/>
        <color theme="1"/>
        <rFont val="Calibri (Body)"/>
      </rPr>
      <t>Health outcomes:</t>
    </r>
    <r>
      <rPr>
        <sz val="12"/>
        <color theme="1"/>
        <rFont val="Calibri"/>
        <family val="2"/>
        <scheme val="minor"/>
      </rPr>
      <t xml:space="preserve"> Life-years, Disability-adjusted life years (DALYs), Quality-adjusted life-years(QALYs), Death , and Disease-specific outcomes</t>
    </r>
  </si>
  <si>
    <r>
      <rPr>
        <i/>
        <u/>
        <sz val="12"/>
        <color theme="1"/>
        <rFont val="Calibri (Body)"/>
      </rPr>
      <t>Economic/Societal Outcomes</t>
    </r>
    <r>
      <rPr>
        <u/>
        <sz val="12"/>
        <color theme="1"/>
        <rFont val="Calibri (Body)"/>
      </rPr>
      <t>:</t>
    </r>
    <r>
      <rPr>
        <sz val="12"/>
        <color theme="1"/>
        <rFont val="Calibri"/>
        <family val="2"/>
        <scheme val="minor"/>
      </rPr>
      <t xml:space="preserve"> cost of retreatment and value of lost productivity from likely failed treatment or complications</t>
    </r>
  </si>
  <si>
    <t>Results</t>
  </si>
  <si>
    <r>
      <t xml:space="preserve">Assumptions: </t>
    </r>
    <r>
      <rPr>
        <sz val="12"/>
        <color theme="1"/>
        <rFont val="Calibri (Body)"/>
      </rPr>
      <t>The main driver of health burden from use of SF medicines is the relationship between medicine % of Active Pharmaceutical</t>
    </r>
  </si>
  <si>
    <t xml:space="preserve"> Ingredient (API) and medicine efficacy.</t>
  </si>
  <si>
    <t>One-Way Sensitivity Analysis</t>
  </si>
  <si>
    <t>Medicine quality rating</t>
  </si>
  <si>
    <t>% of required API</t>
  </si>
  <si>
    <t>Reduction in efficacy</t>
  </si>
  <si>
    <t>Medicine efficacy</t>
  </si>
  <si>
    <t>Standard Quality</t>
  </si>
  <si>
    <t>90-110</t>
  </si>
  <si>
    <t>SF medicines 1</t>
  </si>
  <si>
    <t>75-89</t>
  </si>
  <si>
    <t>SF medicines 2</t>
  </si>
  <si>
    <t>50-74</t>
  </si>
  <si>
    <t>Appendix</t>
  </si>
  <si>
    <t>SF medicines 3</t>
  </si>
  <si>
    <t>&lt;50</t>
  </si>
  <si>
    <t>A detailed description of the model is provided in the Guidance Document.</t>
  </si>
  <si>
    <t>Interface Guide:</t>
  </si>
  <si>
    <t>Buttons that either go somewhere in the model or perform a function (dark blue):</t>
  </si>
  <si>
    <t>Do Something</t>
  </si>
  <si>
    <t>Cells that contain a comment with instructions or information (red triangle):</t>
  </si>
  <si>
    <t>Read This</t>
  </si>
  <si>
    <t>Cells that can be altered to change the default value (light grey ):</t>
  </si>
  <si>
    <t>Enter a Value</t>
  </si>
  <si>
    <t>Cells that contain a list box for making modeling selections (Orange ):</t>
  </si>
  <si>
    <t>Select an Option</t>
  </si>
  <si>
    <t xml:space="preserve">Medicine </t>
  </si>
  <si>
    <t xml:space="preserve">Indication </t>
  </si>
  <si>
    <t>Population</t>
  </si>
  <si>
    <t>Interventions</t>
  </si>
  <si>
    <t>Comparator</t>
  </si>
  <si>
    <t>Outcomes</t>
  </si>
  <si>
    <t>Lifeyears</t>
  </si>
  <si>
    <t>QALYs</t>
  </si>
  <si>
    <t>DALYs</t>
  </si>
  <si>
    <t>Deaths</t>
  </si>
  <si>
    <t>Custom 4</t>
  </si>
  <si>
    <t>Timeframe</t>
  </si>
  <si>
    <r>
      <t xml:space="preserve">1 year to Lifetime  </t>
    </r>
    <r>
      <rPr>
        <i/>
        <sz val="14"/>
        <color theme="1"/>
        <rFont val="Calibri"/>
        <family val="2"/>
        <scheme val="minor"/>
      </rPr>
      <t>(Depends on outcomes)</t>
    </r>
  </si>
  <si>
    <t>Kenya</t>
  </si>
  <si>
    <t>Is there a sector other than Private and Public in the country of interest?</t>
  </si>
  <si>
    <t>Yes</t>
  </si>
  <si>
    <t>If Yes, Please Name Sector</t>
  </si>
  <si>
    <t>Other</t>
  </si>
  <si>
    <t>vars_OWSA</t>
  </si>
  <si>
    <t>Population and Health-seeking Behavior Inputs</t>
  </si>
  <si>
    <t>Variable name</t>
  </si>
  <si>
    <t xml:space="preserve">Live Value </t>
  </si>
  <si>
    <t xml:space="preserve">User-Defined </t>
  </si>
  <si>
    <t>Default</t>
  </si>
  <si>
    <t>Range</t>
  </si>
  <si>
    <t>Include in SA</t>
  </si>
  <si>
    <t>Source</t>
  </si>
  <si>
    <t>Description</t>
  </si>
  <si>
    <t xml:space="preserve">low </t>
  </si>
  <si>
    <t>high</t>
  </si>
  <si>
    <t>Population Eligible</t>
  </si>
  <si>
    <t>pop_elig</t>
  </si>
  <si>
    <t>Number of people who will have the disease or health condition of interest in a given year</t>
  </si>
  <si>
    <t>pop_seek</t>
  </si>
  <si>
    <t>Percentage of Population that receives care in the Public Sector</t>
  </si>
  <si>
    <t>pop_receive_pub</t>
  </si>
  <si>
    <t>Percentage of people who receive care in public sector facilities at a national level</t>
  </si>
  <si>
    <t>Percentage of Population that receives care in the Private Sector</t>
  </si>
  <si>
    <t>pop_receive_priv</t>
  </si>
  <si>
    <t>Percentage of people who receive care in private sector facilities at a national level</t>
  </si>
  <si>
    <t>pop_receive_other</t>
  </si>
  <si>
    <t>Proportion of  Hospitals in Public Sector</t>
  </si>
  <si>
    <t>p_pub_hos</t>
  </si>
  <si>
    <t>Proportion of population that receives care at Public Hospitals vs. Public Health Centers</t>
  </si>
  <si>
    <t>Proportion of  Public Health Centers in Public Sector</t>
  </si>
  <si>
    <t>p_pub_hc</t>
  </si>
  <si>
    <t>Proportion of population that receives care at Public Health Centers vs. Public Hospitals</t>
  </si>
  <si>
    <t>Proportion of Hospitals in Private Sector</t>
  </si>
  <si>
    <t>p_priv_hos</t>
  </si>
  <si>
    <t>Proportion of population that receives care at Private Hospitals vs. other private locations</t>
  </si>
  <si>
    <t>Proportion of Private Pharmacies in Private Sector</t>
  </si>
  <si>
    <t>p_priv_phar</t>
  </si>
  <si>
    <t>Proportion of population that receives care at Private Pharmacies vs. other private locations</t>
  </si>
  <si>
    <t>Proportion of "other locations" in Private Sector</t>
  </si>
  <si>
    <t>p_priv_other</t>
  </si>
  <si>
    <t>Proportion of population that receives care at Private "other" locations vs. other private locations</t>
  </si>
  <si>
    <t>Treatment Sectors Sum Check</t>
  </si>
  <si>
    <t>Public Sector locations Sum Check</t>
  </si>
  <si>
    <t>Private Sector Locations Sum Check</t>
  </si>
  <si>
    <t>Medicine Quality Inputs</t>
  </si>
  <si>
    <t>Proportion of Substandard and Falsified Medicines 1 in the Real-world Scenario</t>
  </si>
  <si>
    <t>p_p1_ss1</t>
  </si>
  <si>
    <t xml:space="preserve">Prevalence of substandard quality and falsified medicines with API ≥75 - &lt;90% </t>
  </si>
  <si>
    <t>Proportion of Substandard and Falsified Medicines 2 in the Real-world Scenario</t>
  </si>
  <si>
    <t>p_p1_ss2</t>
  </si>
  <si>
    <t>Prevalence of substandard quality and falsified medicines with API ≥50- &lt;75%</t>
  </si>
  <si>
    <t>Proportion of  Substandard and Falsified Medicines 3 in the Real-world Scenario</t>
  </si>
  <si>
    <t>p_p1_f</t>
  </si>
  <si>
    <t xml:space="preserve">Prevalence of substandard quality and falsified medicines with API &lt;50% </t>
  </si>
  <si>
    <t>Proportion of Standard Quality Medicines in the Real-world Scenario</t>
  </si>
  <si>
    <t>p_p1_st</t>
  </si>
  <si>
    <t xml:space="preserve">Prevalence of standard quality medicines with API ≥90% - 110% </t>
  </si>
  <si>
    <t>Proportion of Substandard and Falsified Medicines that are Adulterated</t>
  </si>
  <si>
    <t>p_sf_ad</t>
  </si>
  <si>
    <t>Percentage of Substandard and Falsified medicines with harmful effects (average)</t>
  </si>
  <si>
    <t>SF prevalence Sum check</t>
  </si>
  <si>
    <t>Increasing  dosing to achieve full effect</t>
  </si>
  <si>
    <t>Proportion of Healthcare Providers  who increase dose to achieve full effect</t>
  </si>
  <si>
    <t>p_updose</t>
  </si>
  <si>
    <t xml:space="preserve">Total Number of Doses After updosing for Substandard and Falsified Medicines 1 </t>
  </si>
  <si>
    <t>total_doses_up_ss1</t>
  </si>
  <si>
    <t>Number of doses to compensate for SS1 medicines</t>
  </si>
  <si>
    <t xml:space="preserve">Total number of Doses After updosing for Substandard and Falsified Medicines 2 </t>
  </si>
  <si>
    <t>total_doses_up_ss2</t>
  </si>
  <si>
    <t>Number of doses to compensate for SS2 medicines</t>
  </si>
  <si>
    <t xml:space="preserve">Total number of Doses After updosing Substandard and Falsified Medicines 3 </t>
  </si>
  <si>
    <t>total_doses_up_f</t>
  </si>
  <si>
    <t>Number of doses to compensate for SS3 medicines</t>
  </si>
  <si>
    <t>Substandard and Falsified  Medicines Treatment Effect</t>
  </si>
  <si>
    <t>p_txeff_ss1_s</t>
  </si>
  <si>
    <t>Assumption</t>
  </si>
  <si>
    <t>Treatment efficacy reduction for SS1 medicines</t>
  </si>
  <si>
    <t>p_txeff_ss2_s</t>
  </si>
  <si>
    <t>Treatment efficacy reduction for SS2 medicines</t>
  </si>
  <si>
    <t>Treatment Effect of Substandard and Falsified Medicines 3 (API &lt;50%)</t>
  </si>
  <si>
    <t>p_txeff_f_s</t>
  </si>
  <si>
    <t>Treatment efficacy reduction for SS3 medicines</t>
  </si>
  <si>
    <t>Treatment Effect of Standard Quality Medicines (API: 90-110%)</t>
  </si>
  <si>
    <t>p_txeff_s</t>
  </si>
  <si>
    <t>Health Outcomes</t>
  </si>
  <si>
    <t>General Health Outcomes</t>
  </si>
  <si>
    <t>Life-year outcome with treatment</t>
  </si>
  <si>
    <t>ly_tx</t>
  </si>
  <si>
    <t>Life-year value if patient receives treatment</t>
  </si>
  <si>
    <t>Life-year outcome without treatment</t>
  </si>
  <si>
    <t>ly_notx</t>
  </si>
  <si>
    <t>Life-year value if patient does not receive treatment</t>
  </si>
  <si>
    <t>QALY outcome with treatment</t>
  </si>
  <si>
    <t>qaly_tx</t>
  </si>
  <si>
    <t>QALY value if patient receives treatment</t>
  </si>
  <si>
    <t>QALY outcome without treatment</t>
  </si>
  <si>
    <t>qaly_notx</t>
  </si>
  <si>
    <t>QALY value if patient does not receive treatment</t>
  </si>
  <si>
    <t>DALY outcome with treatment</t>
  </si>
  <si>
    <t>daly_tx</t>
  </si>
  <si>
    <t>DALY value if patient receives treatment</t>
  </si>
  <si>
    <t>DALY outcome without tx</t>
  </si>
  <si>
    <t>daly_notx</t>
  </si>
  <si>
    <t>DALY value if patient does not receive treatment</t>
  </si>
  <si>
    <t>Lifetime probability of condition-related death with treatment</t>
  </si>
  <si>
    <t>death_tx</t>
  </si>
  <si>
    <t>Lifetime probability of condition-related death without treatment</t>
  </si>
  <si>
    <t>death_notx</t>
  </si>
  <si>
    <t>custom1_tx</t>
  </si>
  <si>
    <t>Disease-specific outcome if patient receives treatment. To be customized and defined by stakeholder</t>
  </si>
  <si>
    <t>custom1_notx</t>
  </si>
  <si>
    <t>Disease-specific outcome if patient does not receive treatment. To be customized and defined by stakeholder</t>
  </si>
  <si>
    <t>custom2_tx</t>
  </si>
  <si>
    <t>custom2_notx</t>
  </si>
  <si>
    <t>custom3_tx</t>
  </si>
  <si>
    <t>custom3_notx</t>
  </si>
  <si>
    <t>custom4_tx</t>
  </si>
  <si>
    <t>custom4_notx</t>
  </si>
  <si>
    <t>Productivity Loss</t>
  </si>
  <si>
    <t>sickdays_1_tx</t>
  </si>
  <si>
    <t>Number of sick days due to disease-specific outcome if patient receives treatment</t>
  </si>
  <si>
    <t>sickdays_1_notx</t>
  </si>
  <si>
    <t>Number of sick days due to disease-specific outcome if patient does not receive treatment</t>
  </si>
  <si>
    <t>sickdays_2_tx</t>
  </si>
  <si>
    <t>sickdays_2_notx</t>
  </si>
  <si>
    <t>sickdays_3_tx</t>
  </si>
  <si>
    <t>sickdays_3_notx</t>
  </si>
  <si>
    <t>sickdays_4_tx</t>
  </si>
  <si>
    <t>sickdays_4_notx</t>
  </si>
  <si>
    <t>Adulterated medicines - Health decrements</t>
  </si>
  <si>
    <t>Health Decrement in Life-year</t>
  </si>
  <si>
    <t>ly_ad</t>
  </si>
  <si>
    <t xml:space="preserve">Expected harmful effects from use of SF adulterated medicine in Life-years </t>
  </si>
  <si>
    <t>Health Decrement in QALY</t>
  </si>
  <si>
    <t>qaly_ad</t>
  </si>
  <si>
    <t>Expected harmful effects from use of SF adulterated medicine in QALYs</t>
  </si>
  <si>
    <t>Health Decrement in DALY</t>
  </si>
  <si>
    <t>daly_ad</t>
  </si>
  <si>
    <t>Expected harmful effects from use of SF adulterated medicine in DALYs</t>
  </si>
  <si>
    <t>Health Decrement in Lifetime probability of condition-related death</t>
  </si>
  <si>
    <t>death_ad</t>
  </si>
  <si>
    <t>Expected harmful effects from use of SF adulterated medicine in mortality</t>
  </si>
  <si>
    <t>custom1_ad</t>
  </si>
  <si>
    <t>custom2_ad</t>
  </si>
  <si>
    <t>custom3_ad</t>
  </si>
  <si>
    <t>custom4_ad</t>
  </si>
  <si>
    <t>Costs</t>
  </si>
  <si>
    <t>Average Drug Cost per Dose</t>
  </si>
  <si>
    <t>c_drug_avg</t>
  </si>
  <si>
    <t>Procurement cost of medicine – national average</t>
  </si>
  <si>
    <t>c_custom1_avg</t>
  </si>
  <si>
    <t>c_custom2_avg</t>
  </si>
  <si>
    <t>c_custom3_avg</t>
  </si>
  <si>
    <t>c_custom4_avg</t>
  </si>
  <si>
    <t>wage_rate</t>
  </si>
  <si>
    <t>Depending on the availability of data, this could be: National median daily wage rate, Median daily wage of the lowest paid government worker, Daily gross domestic product (GDP) per capita</t>
  </si>
  <si>
    <t xml:space="preserve">Detailed data </t>
  </si>
  <si>
    <t>Medicine Quality per Treatment Location</t>
  </si>
  <si>
    <t>Real-world Scenario</t>
  </si>
  <si>
    <t>Proportion of  Substandard and Falsified Medicines 1 at Public Hospitals in  the Real-world Scenario</t>
  </si>
  <si>
    <t>p_p1_pubh_ss1</t>
  </si>
  <si>
    <t>Proportion of  Substandard and Falsified Medicines 2 at Public Hospitals in the Real-world Scenario</t>
  </si>
  <si>
    <t>p_p1_pubh_ss2</t>
  </si>
  <si>
    <t>Proportion of  Substandard and Falsified Medicines 3 at Public Hospitals in the Real-world Scenario</t>
  </si>
  <si>
    <t>p_p1_pubh_f</t>
  </si>
  <si>
    <t>Proportion of Standard Quality Medicines at Public Hospitals in the Real-world Scenario</t>
  </si>
  <si>
    <t>p_p1_pubh_st</t>
  </si>
  <si>
    <t>Proportion of Substandard and Falsified Medicines 1 at Public Health Centers in  the Real-world Scenario</t>
  </si>
  <si>
    <t>p_p1_pubhc_ss1</t>
  </si>
  <si>
    <t>Proportion of Substandard and Falsified Medicines 2 at Public Health Centers in the Real-world Scenario</t>
  </si>
  <si>
    <t>p_p1_pubhc_ss2</t>
  </si>
  <si>
    <t>Proportion of  Substandard and Falsified Medicines 3 at Public Health Centers in the Real-world Scenario</t>
  </si>
  <si>
    <t>p_p1_pubhc_f</t>
  </si>
  <si>
    <t>Proportion of Standard Quality Medicines at Public Health Centers in the  Real-world Scenario</t>
  </si>
  <si>
    <t>p_p1_pubhc_st</t>
  </si>
  <si>
    <t>Proportion of Substandard and Falsified Medicines 1 at Private Hospitals in  the  Real-world Scenario</t>
  </si>
  <si>
    <t>p_p1_privh_ss1</t>
  </si>
  <si>
    <t>Proportion of Substandard and Falsified Medicines 2 at Private Hospitals in the  Real-world Scenario</t>
  </si>
  <si>
    <t>p_p1_privh_ss2</t>
  </si>
  <si>
    <t>Proportion of   Substandard and Falsified Medicines 3 at Private Hospitals in the  Real-world Scenario</t>
  </si>
  <si>
    <t>p_p1_privh_f</t>
  </si>
  <si>
    <t>Proportion of Standard Quality Medicines at Private Hospitals in the  Real-world Scenario</t>
  </si>
  <si>
    <t>p_p1_privh_st</t>
  </si>
  <si>
    <t>Proportion of Substandard and Falsified Medicines 1 at Private Pharmacies in  the  Real-world Scenario</t>
  </si>
  <si>
    <t>p_p1_privph_ss1</t>
  </si>
  <si>
    <t>Proportion of Substandard and Falsified Medicines 2 at Private Pharmacies in the  Real-world Scenario</t>
  </si>
  <si>
    <t>p_p1_privph_ss2</t>
  </si>
  <si>
    <t>Proportion of   Substandard and Falsified Medicines 3 at Private Pharmacies in the  Real-world Scenario</t>
  </si>
  <si>
    <t>p_p1_privph_f</t>
  </si>
  <si>
    <t>Proportion of Standard Quality Medicines at Private Pharmacies in the  Real-world Scenario</t>
  </si>
  <si>
    <t>p_p1_privph_st</t>
  </si>
  <si>
    <t>Proportion of Substandard and Falsified Medicines 1 at Private "Other Locations"  in  the  Real-world Scenario</t>
  </si>
  <si>
    <t>p_p1_privo_ss1</t>
  </si>
  <si>
    <t>Proportion of Substandard and Falsified Medicines 2 at Private "Other Locations" in the  Real-world Scenario</t>
  </si>
  <si>
    <t>p_p1_privo_ss2</t>
  </si>
  <si>
    <t>Proportion of  Substandard and Falsified Medicines 3 at Private "Other Locations" in the  Real-world Scenario</t>
  </si>
  <si>
    <t>p_p1_privo_f</t>
  </si>
  <si>
    <t>Proportion of Standard Quality Medicines at Private "Other Locations" in the  Real-world Scenario</t>
  </si>
  <si>
    <t>p_p1_privo_st</t>
  </si>
  <si>
    <t>Proportion of Substandard and Falsified Medicines 1 at "Other Locations"  in  the  Real-world Scenario</t>
  </si>
  <si>
    <t>p_p1_other_ss1</t>
  </si>
  <si>
    <t>Proportion of Substandard and Falsified Medicines 2 at  "Other Locations" in the Real-world Scenario</t>
  </si>
  <si>
    <t>p_p1_other_ss2</t>
  </si>
  <si>
    <t>Proportion of   Substandard and Falsified Medicines 3 at  "Other Locations" in the Real-world Scenario</t>
  </si>
  <si>
    <t>p_p1_other_f</t>
  </si>
  <si>
    <t>Proportion of Standard Quality Medicines at  "Other Locations" in the  Real-world Scenario</t>
  </si>
  <si>
    <t>p_p1_other_st</t>
  </si>
  <si>
    <t>Ideal-world Scenario</t>
  </si>
  <si>
    <t>Proportion of  Substandard and Falsified Medicines 1 at Public Hospitals in  the idea-world scenario</t>
  </si>
  <si>
    <t>p_p2_pubh_ss1</t>
  </si>
  <si>
    <t>Proportion of  Substandard and Falsified Medicines 2 at Public Hospitals in the ideal-world scenario</t>
  </si>
  <si>
    <t>p_p2_pubh_ss2</t>
  </si>
  <si>
    <t>Proportion of  Substandard and Falsified Medicines 3 at Public Hospitals in the ideal-world scenario</t>
  </si>
  <si>
    <t>p_p2_pubh_f</t>
  </si>
  <si>
    <t>Proportion of Standard Quality Medicines at Public Hospitals in the  ideal-world scenario</t>
  </si>
  <si>
    <t>p_p2_pubh_st</t>
  </si>
  <si>
    <t>Proportion of  Substandard and Falsified Medicines 1 at Public Health Centers in  the ideal-world scenario</t>
  </si>
  <si>
    <t>p_p2_pubhc_ss1</t>
  </si>
  <si>
    <t>Proportion of  Substandard and Falsified Medicines 2 at Public Health Centers in the ideal-world scenario</t>
  </si>
  <si>
    <t>p_p2_pubhc_ss2</t>
  </si>
  <si>
    <t>Proportion of  Substandard and Falsified Medicines 3 at Public Health Centers in the ideal-world scenario</t>
  </si>
  <si>
    <t>p_p2_pubhc_f</t>
  </si>
  <si>
    <t>Proportion of Standard Quality Medicines at Public Health Centers in the ideal-world scenario</t>
  </si>
  <si>
    <t>p_p2_pubhc_st</t>
  </si>
  <si>
    <t>Proportion of  Substandard and Falsified Medicines 1 at Private Hospitals in the ideal-world scenario</t>
  </si>
  <si>
    <t>p_p2_privh_ss1</t>
  </si>
  <si>
    <t>Proportion of Substandard and Falsified Medicines 2 Medicines at Private Hospitals in the ideal-world scenario</t>
  </si>
  <si>
    <t>p_p2_privh_ss2</t>
  </si>
  <si>
    <t>Proportion of  Substandard and Falsified Medicines 3 at Private Hospitals in the ideal-world scenario</t>
  </si>
  <si>
    <t>p_p2_privh_f</t>
  </si>
  <si>
    <t>Proportion of Standard Quality Medicines at Private Hospitals in the ideal-world scenario</t>
  </si>
  <si>
    <t>p_p2_privh_st</t>
  </si>
  <si>
    <t>Proportion of  Substandard and Falsified Medicines 1 at Private Pharmacies in  the ideal-world scenario</t>
  </si>
  <si>
    <t>p_p2_privph_ss1</t>
  </si>
  <si>
    <t>Proportion of  Substandard and Falsified Medicines 2 at Private Pharmacies in the ideal-world scenario</t>
  </si>
  <si>
    <t>p_p2_privph_ss2</t>
  </si>
  <si>
    <t>Proportion of   Substandard and Falsified Medicines 3 at Private Pharmacies in the ideal-world scenario</t>
  </si>
  <si>
    <t>p_p2_privph_f</t>
  </si>
  <si>
    <t>Proportion of Standard Quality Medicines at Private Pharmacies in the ideal-world scenario</t>
  </si>
  <si>
    <t>p_p2_privph_st</t>
  </si>
  <si>
    <t>Proportion of  Substandard and Falsified Medicines 1 at Private "Other Locations"  in  the ideal-world scenario</t>
  </si>
  <si>
    <t>p_p2_privo_ss1</t>
  </si>
  <si>
    <t>Proportion of  Substandard and Falsified Medicines 2 at Private "Other Locations" in the ideal-world scenario</t>
  </si>
  <si>
    <t>p_p2_privo_ss2</t>
  </si>
  <si>
    <t>Proportion of   Substandard and Falsified Medicines 3 at Private "Other Locations" in the ideal-world scenario</t>
  </si>
  <si>
    <t>p_p2_privo_f</t>
  </si>
  <si>
    <t>Proportion of Standard Quality Medicines at Private "Other Locations" in the ideal-world scenario</t>
  </si>
  <si>
    <t>p_p2_privo_st</t>
  </si>
  <si>
    <t>Proportion of  Substandard and Falsified Medicines 1 at "Other Locations"  in  the ideal-world scenario</t>
  </si>
  <si>
    <t>p_p2_other_ss1</t>
  </si>
  <si>
    <t>Proportion of  Substandard and Falsified Medicines 2 at "Other Locations" in the ideal-world scenario</t>
  </si>
  <si>
    <t>p_p2_other_ss2</t>
  </si>
  <si>
    <t>Proportion of   Substandard and Falsified Medicines 3 at "Other Locations" in the ideal-world scenario</t>
  </si>
  <si>
    <t>p_p2_other_f</t>
  </si>
  <si>
    <t>Proportion of Standard Quality Medicines at "Other Locations" in the ideal-world scenario</t>
  </si>
  <si>
    <t>p_p2_other_st</t>
  </si>
  <si>
    <t>Adulterated medicines</t>
  </si>
  <si>
    <t>Proportion of Substandard and Falsified Medicines 1 that are adulterated</t>
  </si>
  <si>
    <t>p_ss1_ad</t>
  </si>
  <si>
    <t>Proportion of Substandard and Falsified Medicines 2 that are adulterated</t>
  </si>
  <si>
    <t>p_ss2_ad</t>
  </si>
  <si>
    <t>Proportion of Substandard and Falsified Medicines 3 that are adulterated</t>
  </si>
  <si>
    <t>p_f_ad</t>
  </si>
  <si>
    <t>Drug cost per dose</t>
  </si>
  <si>
    <t>Drug Cost per Dose at Public Hospitals</t>
  </si>
  <si>
    <t>c_drug_pub_hos</t>
  </si>
  <si>
    <t>Drug Cost per Dose at Public Health Centers</t>
  </si>
  <si>
    <t>c_drug_pub_hc</t>
  </si>
  <si>
    <t>Drug Cost per Dose at Private Hospitals</t>
  </si>
  <si>
    <t>c_drug_priv_hos</t>
  </si>
  <si>
    <t>Drug Cost per Dose at Private Pharmacies</t>
  </si>
  <si>
    <t>c_drug_priv_phar</t>
  </si>
  <si>
    <t>Drug Cost per Dose at Private "Other" Locations</t>
  </si>
  <si>
    <t>c_drug_priv_other</t>
  </si>
  <si>
    <t>c_drug_other</t>
  </si>
  <si>
    <t>c_custom1_pubhosp</t>
  </si>
  <si>
    <t>c_custom1_pubhc</t>
  </si>
  <si>
    <t>c_custom1_privhos</t>
  </si>
  <si>
    <t>c_custom1_privphar</t>
  </si>
  <si>
    <t>c_custom1_priv_other</t>
  </si>
  <si>
    <t>c_custom1_other</t>
  </si>
  <si>
    <t>c_custom2_pubhosp</t>
  </si>
  <si>
    <t>c_custom2_pubhc</t>
  </si>
  <si>
    <t>c_custom2_privhos</t>
  </si>
  <si>
    <t>c_custom2_privphar</t>
  </si>
  <si>
    <t>c_custom2_priv_other</t>
  </si>
  <si>
    <t>c_custom2_other</t>
  </si>
  <si>
    <t>c_custom3_pubhosp</t>
  </si>
  <si>
    <t>c_custom3_pubhc</t>
  </si>
  <si>
    <t>c_custom3_privhos</t>
  </si>
  <si>
    <t>c_custom3_privphar</t>
  </si>
  <si>
    <t>c_custom3_priv_other</t>
  </si>
  <si>
    <t>c_custom3_other</t>
  </si>
  <si>
    <t>c_custom4_pubhosp</t>
  </si>
  <si>
    <t>c_custom4_pubhc</t>
  </si>
  <si>
    <t>c_custom4_privhos</t>
  </si>
  <si>
    <t>c_custom4_privphar</t>
  </si>
  <si>
    <t>c_custom4_priv_other</t>
  </si>
  <si>
    <t>c_custom4_other</t>
  </si>
  <si>
    <t>Up dosing to achieve full effect by Treatment Location</t>
  </si>
  <si>
    <t>Proportion of Providers  who increase Doses at Public Hospitals</t>
  </si>
  <si>
    <t>p_updose_pubhos</t>
  </si>
  <si>
    <t>Proportion of Providers  who increase Doses at Public Health Centers</t>
  </si>
  <si>
    <t>p_updose_pubhc</t>
  </si>
  <si>
    <t>Proportion of Providers  who increase Doses at Private Hospitals</t>
  </si>
  <si>
    <t>p_updose_prihos</t>
  </si>
  <si>
    <t>Proportion of Providers  who increase Doses at Private Pharmacies</t>
  </si>
  <si>
    <t>p_updose_priphar</t>
  </si>
  <si>
    <t>Proportion of Providers  who increase Doses at Private "Other" Locations</t>
  </si>
  <si>
    <t>p_updose_privother</t>
  </si>
  <si>
    <t>p_updose_other</t>
  </si>
  <si>
    <t>Prob. Branch * Prob. outcome  for different outcomes</t>
  </si>
  <si>
    <t>Population 
eligible</t>
  </si>
  <si>
    <t>Scenario</t>
  </si>
  <si>
    <t>Seek care</t>
  </si>
  <si>
    <t>Receive care 
at public vs. 
private location</t>
  </si>
  <si>
    <t>Treatment 
location</t>
  </si>
  <si>
    <t>Proportion of Health Facilities in each Sector</t>
  </si>
  <si>
    <t>Quality of Medicine</t>
  </si>
  <si>
    <t>Prevalence of 
Substandard and Falsified Medicines</t>
  </si>
  <si>
    <t>Updosing</t>
  </si>
  <si>
    <t>% of Updosing</t>
  </si>
  <si>
    <t>Probability of  Branch</t>
  </si>
  <si>
    <t>Total number of doses</t>
  </si>
  <si>
    <t>Lifetime probability of condition-related Death</t>
  </si>
  <si>
    <t>Probability of  Branch * Lifeyears</t>
  </si>
  <si>
    <t>Probability of  Branch * QALYs</t>
  </si>
  <si>
    <t>Probability of  Branch * DALYs</t>
  </si>
  <si>
    <t>Probability of  Branch * Death</t>
  </si>
  <si>
    <t xml:space="preserve">Probability of  Branch * Eligible Population </t>
  </si>
  <si>
    <t>Number of patients by payoff (Lifeyears)</t>
  </si>
  <si>
    <t>Number of patients by payoff (QALYs)</t>
  </si>
  <si>
    <t>Number of patients by payoff (DALYs)</t>
  </si>
  <si>
    <t>Number of patients by payoff (Deaths)</t>
  </si>
  <si>
    <t>Cost of drug per dose</t>
  </si>
  <si>
    <t xml:space="preserve"> </t>
  </si>
  <si>
    <t>Real world scenario</t>
  </si>
  <si>
    <t>Public location</t>
  </si>
  <si>
    <t>Hospital</t>
  </si>
  <si>
    <t>NA</t>
  </si>
  <si>
    <t>Substandard Quality1</t>
  </si>
  <si>
    <t>No</t>
  </si>
  <si>
    <t>Substandard Quality2</t>
  </si>
  <si>
    <t>Substandard Quality 3</t>
  </si>
  <si>
    <t>Health Center</t>
  </si>
  <si>
    <t>Private location</t>
  </si>
  <si>
    <t>Pharmacy</t>
  </si>
  <si>
    <t>Other location</t>
  </si>
  <si>
    <t>Does not seek care</t>
  </si>
  <si>
    <t>SUM</t>
  </si>
  <si>
    <t>Ideal medicine Quality</t>
  </si>
  <si>
    <t>Health System Perspective</t>
  </si>
  <si>
    <t>Per Person</t>
  </si>
  <si>
    <t xml:space="preserve">Presence of SF </t>
  </si>
  <si>
    <t xml:space="preserve">No SF </t>
  </si>
  <si>
    <t>Cost of drugs</t>
  </si>
  <si>
    <t>Increment</t>
  </si>
  <si>
    <t>Presence of SF</t>
  </si>
  <si>
    <t>Detailed Inputs</t>
  </si>
  <si>
    <t>Annual Cohort</t>
  </si>
  <si>
    <t>Annual cohort</t>
  </si>
  <si>
    <t>no SF</t>
  </si>
  <si>
    <t>Total costs</t>
  </si>
  <si>
    <t>Adulterated Effects</t>
  </si>
  <si>
    <t>Additional societal costs</t>
  </si>
  <si>
    <t>Total decrement</t>
  </si>
  <si>
    <t>Perspective</t>
  </si>
  <si>
    <t>Health System</t>
  </si>
  <si>
    <t>Societal</t>
  </si>
  <si>
    <t>Total</t>
  </si>
  <si>
    <t>Incremental</t>
  </si>
  <si>
    <t>Total Costs</t>
  </si>
  <si>
    <t>One-Way Sensitivity</t>
  </si>
  <si>
    <t>Select:</t>
  </si>
  <si>
    <t>Outcome:</t>
  </si>
  <si>
    <t>Live Result:</t>
  </si>
  <si>
    <t>Run One-Way</t>
  </si>
  <si>
    <t>Incremental Costs</t>
  </si>
  <si>
    <t>Parameter</t>
  </si>
  <si>
    <t>Low Input Value</t>
  </si>
  <si>
    <t>High Input Value</t>
  </si>
  <si>
    <t>Low Input Value Result</t>
  </si>
  <si>
    <t>High Input Value Result</t>
  </si>
  <si>
    <t>Spread</t>
  </si>
  <si>
    <t>Model Title: Model to Estimate Burden of Use of Substandard and Falsified Medical Products</t>
  </si>
  <si>
    <t>For sensitivity analysis</t>
  </si>
  <si>
    <t>OWSA_low</t>
  </si>
  <si>
    <t>OWSA_high</t>
  </si>
  <si>
    <t>Incremental Life-years</t>
  </si>
  <si>
    <t>Incremental QALY</t>
  </si>
  <si>
    <t>Incremental DALYs</t>
  </si>
  <si>
    <t>Incremental Deaths</t>
  </si>
  <si>
    <t>Countries</t>
  </si>
  <si>
    <t>Yes/No</t>
  </si>
  <si>
    <t>Afghanistan</t>
  </si>
  <si>
    <t>Albania</t>
  </si>
  <si>
    <t>Algeria</t>
  </si>
  <si>
    <t>Angola</t>
  </si>
  <si>
    <t>Antigua and Barbuda</t>
  </si>
  <si>
    <t>Argentina</t>
  </si>
  <si>
    <t>Armenia</t>
  </si>
  <si>
    <t>Aruba</t>
  </si>
  <si>
    <t>Australia</t>
  </si>
  <si>
    <t>Austria</t>
  </si>
  <si>
    <t>Azerbaijan</t>
  </si>
  <si>
    <t>Bahamas</t>
  </si>
  <si>
    <t>Bahrain</t>
  </si>
  <si>
    <t>Bangladesh</t>
  </si>
  <si>
    <t>Barbados</t>
  </si>
  <si>
    <t>Belarus</t>
  </si>
  <si>
    <t>Belgium</t>
  </si>
  <si>
    <t>Belize</t>
  </si>
  <si>
    <t>Benin</t>
  </si>
  <si>
    <t>Bhutan</t>
  </si>
  <si>
    <t>Bolivia (Plurinational State of)</t>
  </si>
  <si>
    <t>Bosnia and Herzegovina</t>
  </si>
  <si>
    <t>Botswana</t>
  </si>
  <si>
    <t>Brazil</t>
  </si>
  <si>
    <t>Brunei Darussalam</t>
  </si>
  <si>
    <t>Bulgaria</t>
  </si>
  <si>
    <t>Burkina Faso</t>
  </si>
  <si>
    <t>Burundi</t>
  </si>
  <si>
    <t>Cabo Verde</t>
  </si>
  <si>
    <t>Cambodia</t>
  </si>
  <si>
    <t>Cameroon</t>
  </si>
  <si>
    <t>Canada</t>
  </si>
  <si>
    <t>Central African Republic</t>
  </si>
  <si>
    <t>Chad</t>
  </si>
  <si>
    <t>Channel Islands</t>
  </si>
  <si>
    <t>Chile</t>
  </si>
  <si>
    <t>China</t>
  </si>
  <si>
    <t>China, Hong Kong SAR</t>
  </si>
  <si>
    <t>China, Macao SAR</t>
  </si>
  <si>
    <t>China, Taiwan Province of China</t>
  </si>
  <si>
    <t>Colombia</t>
  </si>
  <si>
    <t>Comoros</t>
  </si>
  <si>
    <t>Congo</t>
  </si>
  <si>
    <t>Costa Rica</t>
  </si>
  <si>
    <t>Côte d'Ivoire</t>
  </si>
  <si>
    <t>Croatia</t>
  </si>
  <si>
    <t>Cuba</t>
  </si>
  <si>
    <t>Curaçao</t>
  </si>
  <si>
    <t>Cyprus</t>
  </si>
  <si>
    <t>Czechia</t>
  </si>
  <si>
    <t>Dem. People's Republic of Korea</t>
  </si>
  <si>
    <t>Democratic Republic of the Congo</t>
  </si>
  <si>
    <t>Denmark</t>
  </si>
  <si>
    <t>Djibouti</t>
  </si>
  <si>
    <t>Dominican Republic</t>
  </si>
  <si>
    <t>Ecuador</t>
  </si>
  <si>
    <t>Egypt</t>
  </si>
  <si>
    <t>El Salvador</t>
  </si>
  <si>
    <t>Equatorial Guinea</t>
  </si>
  <si>
    <t>Eritrea</t>
  </si>
  <si>
    <t>Estonia</t>
  </si>
  <si>
    <t>Ethiopia</t>
  </si>
  <si>
    <t>Fiji</t>
  </si>
  <si>
    <t>Finland</t>
  </si>
  <si>
    <t>France</t>
  </si>
  <si>
    <t>French Guiana</t>
  </si>
  <si>
    <t>French Polynesia</t>
  </si>
  <si>
    <t>Gabon</t>
  </si>
  <si>
    <t>Gambia</t>
  </si>
  <si>
    <t>Georgia</t>
  </si>
  <si>
    <t>Germany</t>
  </si>
  <si>
    <t>Ghana</t>
  </si>
  <si>
    <t>Greece</t>
  </si>
  <si>
    <t>Grenada</t>
  </si>
  <si>
    <t>Guadeloupe</t>
  </si>
  <si>
    <t>Guam</t>
  </si>
  <si>
    <t>Guatemala</t>
  </si>
  <si>
    <t>Guinea</t>
  </si>
  <si>
    <t>Guinea-Bissau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</si>
  <si>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</si>
  <si>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</si>
  <si>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</si>
  <si>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</si>
  <si>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</si>
  <si>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</si>
  <si>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</si>
  <si>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</si>
  <si>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</si>
  <si>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</si>
  <si>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</si>
  <si>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</si>
  <si>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</si>
  <si>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</si>
  <si>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</si>
  <si>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</si>
  <si>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Kiribati</t>
  </si>
  <si>
    <t>Kosovo</t>
  </si>
  <si>
    <t>Kuwait</t>
  </si>
  <si>
    <t>Kyrgyzstan</t>
  </si>
  <si>
    <t>Lao People's Democratic Republic</t>
  </si>
  <si>
    <t>Latvia</t>
  </si>
  <si>
    <t>Lebanon</t>
  </si>
  <si>
    <t>Lesotho</t>
  </si>
  <si>
    <t>Liberia</t>
  </si>
  <si>
    <t>Libya</t>
  </si>
  <si>
    <t>Lithuania</t>
  </si>
  <si>
    <t>Luxembourg</t>
  </si>
  <si>
    <t>Madagascar</t>
  </si>
  <si>
    <t>Malawi</t>
  </si>
  <si>
    <t>Malaysia</t>
  </si>
  <si>
    <t>Maldives</t>
  </si>
  <si>
    <t>Mali</t>
  </si>
  <si>
    <t>Malta</t>
  </si>
  <si>
    <t>Marshall Islands</t>
  </si>
  <si>
    <t>Martinique</t>
  </si>
  <si>
    <t>Mauritania</t>
  </si>
  <si>
    <t>Mauritius</t>
  </si>
  <si>
    <t>Mayotte</t>
  </si>
  <si>
    <t>Mexico</t>
  </si>
  <si>
    <t>Micronesia (Fed. States of)</t>
  </si>
  <si>
    <t>Mongolia</t>
  </si>
  <si>
    <t>Montenegro</t>
  </si>
  <si>
    <t>Morocco</t>
  </si>
  <si>
    <t>Mozambique</t>
  </si>
  <si>
    <t>Myanmar</t>
  </si>
  <si>
    <t>Namibia</t>
  </si>
  <si>
    <t>Nepal</t>
  </si>
  <si>
    <t>Netherlands</t>
  </si>
  <si>
    <t>New Caledonia</t>
  </si>
  <si>
    <t>New Zealand</t>
  </si>
  <si>
    <t>Nicaragua</t>
  </si>
  <si>
    <t>Niger</t>
  </si>
  <si>
    <t>Nigeria</t>
  </si>
  <si>
    <t>Norway</t>
  </si>
  <si>
    <t>Oman</t>
  </si>
  <si>
    <t>Pakistan</t>
  </si>
  <si>
    <t>Panama</t>
  </si>
  <si>
    <t>Papua New Guinea</t>
  </si>
  <si>
    <t>Paraguay</t>
  </si>
  <si>
    <t>Peru</t>
  </si>
  <si>
    <t>Philippines</t>
  </si>
  <si>
    <t>Poland</t>
  </si>
  <si>
    <t>Portugal</t>
  </si>
  <si>
    <t>Puerto Rico</t>
  </si>
  <si>
    <t>Qatar</t>
  </si>
  <si>
    <t>Republic of Korea</t>
  </si>
  <si>
    <t>Republic of Moldova</t>
  </si>
  <si>
    <t>Réunion</t>
  </si>
  <si>
    <t>Romania</t>
  </si>
  <si>
    <t>Russian Federation</t>
  </si>
  <si>
    <t>Rwanda</t>
  </si>
  <si>
    <t>Saint Lucia</t>
  </si>
  <si>
    <t>Saint Vincent and the Grenadines</t>
  </si>
  <si>
    <t>Samoa</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</si>
  <si>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</si>
  <si>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</si>
  <si>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</si>
  <si>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</si>
  <si>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</si>
  <si>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</si>
  <si>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</si>
  <si>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</si>
  <si>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</si>
  <si>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</si>
  <si>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</si>
  <si>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</si>
  <si>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</si>
  <si>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</si>
  <si>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</si>
  <si>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Palestine, State of</t>
  </si>
  <si>
    <t>Sudan</t>
  </si>
  <si>
    <t>Suriname</t>
  </si>
  <si>
    <t>Swaziland</t>
  </si>
  <si>
    <t>Sweden</t>
  </si>
  <si>
    <t>Switzerland</t>
  </si>
  <si>
    <t>Syrian Arab Republic</t>
  </si>
  <si>
    <t>Tajikistan</t>
  </si>
  <si>
    <t>TFYR Macedonia</t>
  </si>
  <si>
    <t>Thailand</t>
  </si>
  <si>
    <t>Timor-Leste</t>
  </si>
  <si>
    <t>Togo</t>
  </si>
  <si>
    <t>Tonga</t>
  </si>
  <si>
    <t>Trinidad and Tobago</t>
  </si>
  <si>
    <t>Tunisia</t>
  </si>
  <si>
    <t>Turkey</t>
  </si>
  <si>
    <t>Turkmenistan</t>
  </si>
  <si>
    <t>Tuvalu</t>
  </si>
  <si>
    <t>Uganda</t>
  </si>
  <si>
    <t>Ukraine</t>
  </si>
  <si>
    <t>United Arab Emirates</t>
  </si>
  <si>
    <t>United Kingdom</t>
  </si>
  <si>
    <t>United Republic of Tanzania</t>
  </si>
  <si>
    <t>United States of America</t>
  </si>
  <si>
    <t>United States Virgin Islands</t>
  </si>
  <si>
    <t>Uruguay</t>
  </si>
  <si>
    <t>Uzbekistan</t>
  </si>
  <si>
    <t>Vanuatu</t>
  </si>
  <si>
    <t>Venezuela (Bolivarian Republic of)</t>
  </si>
  <si>
    <t>Viet Nam</t>
  </si>
  <si>
    <t>Western Sahara</t>
  </si>
  <si>
    <t>Yemen</t>
  </si>
  <si>
    <t>Zambia</t>
  </si>
  <si>
    <t>Zimbabwe</t>
  </si>
  <si>
    <t>Treatment Effect of Substandard and Falsified Medicines 2 (API: 50-74%)</t>
  </si>
  <si>
    <t>Probability of death if patient receives treatment</t>
  </si>
  <si>
    <t>Probability of death if patient does not receive treatment</t>
  </si>
  <si>
    <t>››</t>
  </si>
  <si>
    <t>›</t>
  </si>
  <si>
    <t>Custom 3</t>
  </si>
  <si>
    <t>amoxycillin</t>
  </si>
  <si>
    <t>pnemonia in children &lt;5 years old</t>
  </si>
  <si>
    <t>severe pneumonia</t>
  </si>
  <si>
    <t>very severe pneumonia</t>
  </si>
  <si>
    <t>https://www.worlddata.info/average-income.php</t>
  </si>
  <si>
    <t>Rudan et al. (2013); doi: 10.7189/jogh.03.010401</t>
  </si>
  <si>
    <t>Zabala et al. (2022); https://www.ncbi.nlm.nih.gov/pmc/articles/PMC9394205/</t>
  </si>
  <si>
    <t>Average age at death</t>
  </si>
  <si>
    <t>Life Expectancy At birth</t>
  </si>
  <si>
    <t>Life Expectancy at birth</t>
  </si>
  <si>
    <t>Per Capita gross domestic product (Int$ GDPPC)</t>
  </si>
  <si>
    <t>Per capita total expenditure on health (Int$ PCTHE)</t>
  </si>
  <si>
    <t>Minimum Age for employment</t>
  </si>
  <si>
    <t>Undiscounted years of life lost under 5 years (YLL)</t>
  </si>
  <si>
    <t>Total non-health GDP loss</t>
  </si>
  <si>
    <t>Incremental Presence of SF</t>
  </si>
  <si>
    <t>Incremental No SF</t>
  </si>
  <si>
    <t>Incremental difference</t>
  </si>
  <si>
    <t>Difference</t>
  </si>
  <si>
    <t>No SF meds</t>
  </si>
  <si>
    <t>SF Meds</t>
  </si>
  <si>
    <t>Year (t)</t>
  </si>
  <si>
    <t>Total number of child deaths (TCD; Presence of SF meds)</t>
  </si>
  <si>
    <t>Total number of child deaths (TCD; No SF meds)</t>
  </si>
  <si>
    <t>Total number of child deaths (TCD; difference)</t>
  </si>
  <si>
    <t>NHGDPPC int$</t>
  </si>
  <si>
    <t>Discount Rate (r)</t>
  </si>
  <si>
    <t>Discounted YLL (DYLL)</t>
  </si>
  <si>
    <t>𝑁𝐻𝐺𝐷𝑃𝐿𝑜𝑠𝑠 SF Meds</t>
  </si>
  <si>
    <t>𝑁𝐻𝐺𝐷𝑃𝐿𝑜𝑠𝑠 No SF meds</t>
  </si>
  <si>
    <t>𝑁𝐻𝐺𝐷𝑃𝐿𝑜𝑠𝑠 Difference</t>
  </si>
  <si>
    <t>Productivity loss due to death</t>
  </si>
  <si>
    <t>Discount Factor 
[1-(1+r)^t]</t>
  </si>
  <si>
    <t>Life years lost</t>
  </si>
  <si>
    <t>Lifeyears loss due to deaths</t>
  </si>
  <si>
    <t>Discount Rate</t>
  </si>
  <si>
    <t>Per Capita gross domestic product (current US$ GDPPC)</t>
  </si>
  <si>
    <t>Per capita total expenditure on health (US$ PCTHE)</t>
  </si>
  <si>
    <t>Sub total</t>
  </si>
  <si>
    <t>Nair et al. (2013), https://doi.org/10.1016/S0140-6736(12)61901-1; Rudan et al. (2013); doi: 10.7189/jogh.03.010401</t>
  </si>
  <si>
    <t>Rudan et al. (2013), doi: 10.7189/jogh.03.010401; Nair et al. (2013), https://doi.org/10.1016/S0140-6736(12)61901-1</t>
  </si>
  <si>
    <t>Zhang et al. (2016), 10.7189/jogh.06.010408</t>
  </si>
  <si>
    <t>Treatment Effect of Substandard and Falsified Medicines 1 (API: 75-89%)</t>
  </si>
  <si>
    <t>Walker et al. (2013), http://dx.doi.org/10.1016/S0140-6736(13)60222-6; https://platform.who.int/data/maternal-newborn-child-adolescent-ageing/indicator-explorer-new/mca/under-five-population-(thousands); https://data.unicef.org/resources/dataset/the-state-of-the-worlds-children-2021-statistical-tables/</t>
  </si>
  <si>
    <t>https://www.who.int/data/gho/data/indicators/indicator-details/GHO/life-expectancy-at-birth-(years)</t>
  </si>
  <si>
    <t>https://data.worldbank.org/indicator/NY.GDP.PCAP.CD?name_desc=false</t>
  </si>
  <si>
    <t>https://www.who.int/docs/default-source/gho-documents/world-health-statistic-reports/world-health-statistics-2015.pdf</t>
  </si>
  <si>
    <t>Kirigia, Muthuri, Nabyonga-Orem, &amp; Kirigia (2015), https://doi.org/10.1186/s12889-015-2465-z</t>
  </si>
  <si>
    <t>Ales, Bell, Deinert, &amp; Robin-Oliver (2018), doi.org/10.5771/9783845266190</t>
  </si>
  <si>
    <t>List of Values</t>
  </si>
  <si>
    <t>https://www.who.int/data/gho/data/indicators/indicator-details/GHO/children-aged-5-years-with-pneumonia-symptoms-taken-to-a-healthcare-provider-(-)</t>
  </si>
  <si>
    <t>Addo-Yobo et al. (2011),  https://doi.org/10.1111/j.1365-3156.2011.02787.x; Ginsberg et al. (2019), doi: 10.1001/jamapediatrics.2018.3407; Ginsberg et al. (2020), doi: 10.1056/NEJMoa1912400; King et al. (2015), doi:10.1371/journal.pone.0136839; Nair et al. (2013), https://doi.org/10.1016/S0140-6736(12)61901-1</t>
  </si>
  <si>
    <t>Addo-Yobo et al. (2011),  https://doi.org/10.1111/j.1365-3156.2011.02787.x; Ginsberg et al. (2019), doi: 10.1001/jamapediatrics.2018.3407; Ginsberg et al. (2020), doi: 10.1056/NEJMoa1912400; King et al. (2015), doi:10.1371/journal.pone.0136839</t>
  </si>
  <si>
    <t>Nair et al. (2013), https://doi.org/10.1016/S0140-6736(12)61901-1; Addo-Yobo et al. (2011),  https://doi.org/10.1111/j.1365-3156.2011.02787.x; Ginsberg et al. (2019), doi: 10.1001/jamapediatrics.2018.3407; Ginsberg et al. (2020), doi: 10.1056/NEJMoa1912400; King et al. (2015), doi:10.1371/journal.pone.0136839</t>
  </si>
  <si>
    <t>Adamu et al. (2022), http://dx.doi.org/10.1136/bmjgh-2021-007080; Batura et al. (2022), https://doi.org/10.1186/s12936-022-04254-y; de Broucker et al. (2020), https://doi.org/10.1007/s40273-020-00940-4;Ekirapa-Kiracho et al. (2021), 10.1016/j.jvacx.2021.100095; Zhang et al. (2016), 10.7189/jogh.06.010408</t>
  </si>
  <si>
    <t>Percentage of Population that seeks care and receives treatment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</si>
</sst>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quot;$&quot;#,##0.00"/>
    <numFmt numFmtId="165" formatCode="0.0"/>
    <numFmt numFmtId="166" formatCode="0.0000"/>
    <numFmt numFmtId="167" formatCode="_(&quot;$&quot;* #,##0_);_(&quot;$&quot;* \(#,##0\);_(&quot;$&quot;* &quot;-&quot;??_);_(@_)"/>
    <numFmt numFmtId="168" formatCode="0.000"/>
  </numFmts>
  <fonts count="59">
    <font>
      <sz val="12"/>
      <color theme="1"/>
      <name val="Calibri"/>
      <family val="2"/>
      <scheme val="minor"/>
    </font>
    <font>
      <i/>
      <sz val="12"/>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u/>
      <sz val="11"/>
      <color theme="10"/>
      <name val="Calibri"/>
      <family val="2"/>
    </font>
    <font>
      <sz val="11"/>
      <color theme="1"/>
      <name val="Calibri"/>
      <family val="2"/>
      <scheme val="minor"/>
    </font>
    <font>
      <sz val="14"/>
      <color theme="1"/>
      <name val="Calibri"/>
      <family val="2"/>
      <scheme val="minor"/>
    </font>
    <font>
      <b/>
      <sz val="14"/>
      <color theme="1"/>
      <name val="Calibri"/>
      <family val="2"/>
      <scheme val="minor"/>
    </font>
    <font>
      <b/>
      <sz val="12"/>
      <color rgb="FF000000"/>
      <name val="Calibri"/>
      <family val="2"/>
      <scheme val="minor"/>
    </font>
    <font>
      <sz val="12"/>
      <color rgb="FF000000"/>
      <name val="Calibri"/>
      <family val="2"/>
      <scheme val="minor"/>
    </font>
    <font>
      <sz val="8"/>
      <name val="Calibri"/>
      <family val="2"/>
      <scheme val="minor"/>
    </font>
    <font>
      <sz val="8"/>
      <name val="Arial"/>
      <family val="2"/>
    </font>
    <font>
      <sz val="11"/>
      <name val="Calibri"/>
      <family val="2"/>
      <scheme val="minor"/>
    </font>
    <font>
      <b/>
      <sz val="11"/>
      <color theme="1"/>
      <name val="Calibri"/>
      <family val="2"/>
      <scheme val="minor"/>
    </font>
    <font>
      <b/>
      <sz val="16"/>
      <color theme="1"/>
      <name val="Calibri"/>
      <family val="2"/>
      <scheme val="minor"/>
    </font>
    <font>
      <sz val="10"/>
      <color rgb="FF000000"/>
      <name val="Tahoma"/>
      <family val="2"/>
    </font>
    <font>
      <b/>
      <sz val="10"/>
      <color rgb="FF000000"/>
      <name val="Tahoma"/>
      <family val="2"/>
    </font>
    <font>
      <b/>
      <sz val="20"/>
      <name val="Calibri"/>
      <family val="2"/>
      <scheme val="minor"/>
    </font>
    <font>
      <b/>
      <sz val="12"/>
      <color theme="0"/>
      <name val="Calibri"/>
      <family val="2"/>
      <scheme val="minor"/>
    </font>
    <font>
      <sz val="12"/>
      <color theme="0"/>
      <name val="Calibri"/>
      <family val="2"/>
      <scheme val="minor"/>
    </font>
    <font>
      <sz val="6"/>
      <color theme="1"/>
      <name val="Calibri"/>
      <family val="2"/>
      <scheme val="minor"/>
    </font>
    <font>
      <b/>
      <sz val="18"/>
      <color theme="8" tint="-0.249977111117893"/>
      <name val="Calibri (Body)"/>
    </font>
    <font>
      <sz val="10"/>
      <color theme="0"/>
      <name val="Calibri"/>
      <family val="2"/>
      <scheme val="minor"/>
    </font>
    <font>
      <b/>
      <u/>
      <sz val="12"/>
      <color theme="1"/>
      <name val="Calibri (Body)"/>
    </font>
    <font>
      <sz val="12"/>
      <color theme="1"/>
      <name val="Calibri (Body)"/>
    </font>
    <font>
      <b/>
      <sz val="12"/>
      <color theme="1"/>
      <name val="Calibri (Body)"/>
    </font>
    <font>
      <b/>
      <sz val="10"/>
      <color theme="0"/>
      <name val="Calibri"/>
      <family val="2"/>
      <scheme val="minor"/>
    </font>
    <font>
      <sz val="10"/>
      <color theme="1"/>
      <name val="Calibri"/>
      <family val="2"/>
      <scheme val="minor"/>
    </font>
    <font>
      <sz val="10"/>
      <color rgb="FF000000"/>
      <name val="Calibri"/>
      <family val="2"/>
    </font>
    <font>
      <b/>
      <sz val="12"/>
      <color theme="8" tint="-0.499984740745262"/>
      <name val="Calibri"/>
      <family val="2"/>
      <scheme val="minor"/>
    </font>
    <font>
      <b/>
      <sz val="14"/>
      <color theme="0"/>
      <name val="Calibri"/>
      <family val="2"/>
      <scheme val="minor"/>
    </font>
    <font>
      <b/>
      <sz val="10"/>
      <color rgb="FF000000"/>
      <name val="Tahoma"/>
      <family val="34"/>
    </font>
    <font>
      <sz val="10"/>
      <color rgb="FF000000"/>
      <name val="Tahoma"/>
      <family val="34"/>
    </font>
    <font>
      <i/>
      <sz val="12"/>
      <color rgb="FF000000"/>
      <name val="Calibri"/>
      <family val="2"/>
      <scheme val="minor"/>
    </font>
    <font>
      <u/>
      <sz val="12"/>
      <color theme="1"/>
      <name val="Calibri"/>
      <family val="2"/>
      <scheme val="minor"/>
    </font>
    <font>
      <b/>
      <u/>
      <sz val="12"/>
      <color theme="1"/>
      <name val="Calibri"/>
      <family val="2"/>
      <scheme val="minor"/>
    </font>
    <font>
      <u/>
      <sz val="12"/>
      <color theme="1"/>
      <name val="Calibri (Body)"/>
    </font>
    <font>
      <i/>
      <u/>
      <sz val="12"/>
      <color theme="1"/>
      <name val="Calibri (Body)"/>
    </font>
    <font>
      <sz val="12"/>
      <name val="Calibri"/>
      <family val="2"/>
      <scheme val="minor"/>
    </font>
    <font>
      <sz val="14"/>
      <color theme="0"/>
      <name val="Calibri"/>
      <family val="2"/>
      <scheme val="minor"/>
    </font>
    <font>
      <u/>
      <sz val="14"/>
      <color theme="10"/>
      <name val="Calibri"/>
      <family val="2"/>
      <scheme val="minor"/>
    </font>
    <font>
      <b/>
      <sz val="14"/>
      <color rgb="FF002060"/>
      <name val="Calibri"/>
      <family val="2"/>
      <scheme val="minor"/>
    </font>
    <font>
      <sz val="14"/>
      <color rgb="FFFF0000"/>
      <name val="Calibri"/>
      <family val="2"/>
      <scheme val="minor"/>
    </font>
    <font>
      <i/>
      <sz val="14"/>
      <color theme="1"/>
      <name val="Calibri"/>
      <family val="2"/>
      <scheme val="minor"/>
    </font>
    <font>
      <sz val="14"/>
      <color theme="6" tint="0.79998168889431442"/>
      <name val="Calibri"/>
      <family val="2"/>
      <scheme val="minor"/>
    </font>
    <font>
      <b/>
      <sz val="14"/>
      <color theme="8" tint="-0.499984740745262"/>
      <name val="Calibri"/>
      <family val="2"/>
      <scheme val="minor"/>
    </font>
    <font>
      <b/>
      <u/>
      <sz val="14"/>
      <color theme="10"/>
      <name val="Calibri"/>
      <family val="2"/>
      <scheme val="minor"/>
    </font>
    <font>
      <sz val="12"/>
      <color rgb="FFFFFFFF"/>
      <name val="Calibri"/>
      <family val="2"/>
    </font>
    <font>
      <sz val="12"/>
      <color rgb="FF000000"/>
      <name val="Calibri"/>
      <family val="2"/>
    </font>
    <font>
      <sz val="8"/>
      <color theme="2" tint="-9.9978637043366805E-2"/>
      <name val="Calibri"/>
      <family val="2"/>
      <scheme val="minor"/>
    </font>
    <font>
      <sz val="8"/>
      <color theme="2" tint="-9.9978637043366805E-2"/>
      <name val="Calibri (Body)"/>
    </font>
    <font>
      <b/>
      <sz val="8"/>
      <color theme="2" tint="-9.9978637043366805E-2"/>
      <name val="Calibri"/>
      <family val="2"/>
      <scheme val="minor"/>
    </font>
    <font>
      <b/>
      <sz val="12"/>
      <color theme="0"/>
      <name val="Calibri (Body)"/>
    </font>
    <font>
      <i/>
      <sz val="12"/>
      <color rgb="FF000000"/>
      <name val="Calibri"/>
      <family val="2"/>
    </font>
    <font>
      <sz val="12"/>
      <color theme="1"/>
      <name val="Calibri"/>
      <family val="2"/>
    </font>
    <font>
      <sz val="9"/>
      <color theme="1"/>
      <name val="Arial"/>
      <family val="2"/>
    </font>
    <font>
      <sz val="11"/>
      <color rgb="FF333333"/>
      <name val="Georgia"/>
      <family val="1"/>
    </font>
    <font>
      <b/>
      <sz val="11"/>
      <color rgb="FF333333"/>
      <name val="Georgia"/>
      <family val="1"/>
    </font>
  </fonts>
  <fills count="2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3"/>
        <bgColor indexed="64"/>
      </patternFill>
    </fill>
    <fill>
      <patternFill patternType="solid">
        <fgColor theme="8" tint="-0.499984740745262"/>
        <bgColor indexed="64"/>
      </patternFill>
    </fill>
    <fill>
      <patternFill patternType="solid">
        <fgColor theme="1" tint="0.89999084444715716"/>
        <bgColor indexed="64"/>
      </patternFill>
    </fill>
    <fill>
      <patternFill patternType="solid">
        <fgColor theme="8" tint="0.59999389629810485"/>
        <bgColor indexed="64"/>
      </patternFill>
    </fill>
    <fill>
      <patternFill patternType="solid">
        <fgColor theme="4" tint="0.79998168889431442"/>
        <bgColor indexed="65"/>
      </patternFill>
    </fill>
    <fill>
      <patternFill patternType="solid">
        <fgColor rgb="FF002060"/>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B4C6E7"/>
        <bgColor rgb="FF000000"/>
      </patternFill>
    </fill>
    <fill>
      <patternFill patternType="solid">
        <fgColor rgb="FF7F7F7F"/>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theme="0"/>
        <bgColor rgb="FF000000"/>
      </patternFill>
    </fill>
    <fill>
      <patternFill patternType="solid">
        <fgColor rgb="FFFFFFFF"/>
        <bgColor rgb="FF000000"/>
      </patternFill>
    </fill>
    <fill>
      <patternFill patternType="solid">
        <fgColor theme="0" tint="-4.9989318521683403E-2"/>
        <bgColor indexed="64"/>
      </patternFill>
    </fill>
    <fill>
      <patternFill patternType="solid">
        <fgColor rgb="FFEDEDED"/>
        <bgColor rgb="FF000000"/>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theme="0"/>
      </right>
      <top/>
      <bottom/>
      <diagonal/>
    </border>
    <border>
      <left style="thin">
        <color theme="0"/>
      </left>
      <right/>
      <top style="thin">
        <color theme="0"/>
      </top>
      <bottom style="thin">
        <color theme="0"/>
      </bottom>
      <diagonal/>
    </border>
    <border>
      <left/>
      <right/>
      <top/>
      <bottom style="thin">
        <color indexed="64"/>
      </bottom>
      <diagonal/>
    </border>
    <border>
      <left style="thin">
        <color indexed="64"/>
      </left>
      <right style="thin">
        <color indexed="64"/>
      </right>
      <top style="thin">
        <color indexed="64"/>
      </top>
      <bottom/>
      <diagonal/>
    </border>
    <border>
      <left style="thin">
        <color theme="0"/>
      </left>
      <right/>
      <top/>
      <bottom/>
      <diagonal/>
    </border>
    <border>
      <left style="thin">
        <color theme="0"/>
      </left>
      <right/>
      <top/>
      <bottom style="thin">
        <color theme="0"/>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theme="0"/>
      </top>
      <bottom style="thin">
        <color theme="0"/>
      </bottom>
      <diagonal/>
    </border>
    <border>
      <left/>
      <right style="thin">
        <color theme="0"/>
      </right>
      <top/>
      <bottom/>
      <diagonal/>
    </border>
    <border>
      <left style="thin">
        <color theme="0"/>
      </left>
      <right/>
      <top/>
      <bottom style="thin">
        <color indexed="64"/>
      </bottom>
      <diagonal/>
    </border>
    <border>
      <left/>
      <right style="thin">
        <color theme="0"/>
      </right>
      <top/>
      <bottom style="thin">
        <color indexed="64"/>
      </bottom>
      <diagonal/>
    </border>
    <border>
      <left/>
      <right style="thin">
        <color theme="0"/>
      </right>
      <top/>
      <bottom style="thin">
        <color theme="0"/>
      </bottom>
      <diagonal/>
    </border>
    <border>
      <left style="thin">
        <color theme="0"/>
      </left>
      <right style="thin">
        <color theme="0"/>
      </right>
      <top/>
      <bottom style="thin">
        <color auto="1"/>
      </bottom>
      <diagonal/>
    </border>
    <border>
      <left style="thin">
        <color theme="0"/>
      </left>
      <right/>
      <top style="thin">
        <color theme="0"/>
      </top>
      <bottom/>
      <diagonal/>
    </border>
    <border>
      <left style="thin">
        <color theme="0"/>
      </left>
      <right style="thin">
        <color theme="0"/>
      </right>
      <top style="thin">
        <color theme="0"/>
      </top>
      <bottom style="thin">
        <color indexed="64"/>
      </bottom>
      <diagonal/>
    </border>
    <border>
      <left/>
      <right style="thin">
        <color theme="0"/>
      </right>
      <top style="thin">
        <color theme="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right style="thin">
        <color indexed="64"/>
      </right>
      <top style="thin">
        <color theme="0"/>
      </top>
      <bottom style="thin">
        <color theme="0"/>
      </bottom>
      <diagonal/>
    </border>
    <border>
      <left style="thin">
        <color indexed="64"/>
      </left>
      <right style="thin">
        <color theme="0"/>
      </right>
      <top style="thin">
        <color indexed="64"/>
      </top>
      <bottom/>
      <diagonal/>
    </border>
    <border>
      <left style="thin">
        <color indexed="64"/>
      </left>
      <right style="thin">
        <color theme="0"/>
      </right>
      <top/>
      <bottom style="thin">
        <color indexed="64"/>
      </bottom>
      <diagonal/>
    </border>
    <border>
      <left/>
      <right style="thin">
        <color theme="0"/>
      </right>
      <top style="thin">
        <color theme="0"/>
      </top>
      <bottom style="thin">
        <color indexed="64"/>
      </bottom>
      <diagonal/>
    </border>
    <border>
      <left style="dotted">
        <color auto="1"/>
      </left>
      <right style="dotted">
        <color auto="1"/>
      </right>
      <top style="dotted">
        <color auto="1"/>
      </top>
      <bottom style="dotted">
        <color auto="1"/>
      </bottom>
      <diagonal/>
    </border>
    <border>
      <left/>
      <right style="thin">
        <color indexed="64"/>
      </right>
      <top/>
      <bottom style="thin">
        <color theme="0"/>
      </bottom>
      <diagonal/>
    </border>
    <border>
      <left style="thin">
        <color theme="0"/>
      </left>
      <right style="thin">
        <color indexed="64"/>
      </right>
      <top/>
      <bottom style="thin">
        <color theme="0"/>
      </bottom>
      <diagonal/>
    </border>
    <border>
      <left style="thin">
        <color theme="0"/>
      </left>
      <right style="thin">
        <color indexed="64"/>
      </right>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bottom/>
      <diagonal/>
    </border>
    <border>
      <left style="thin">
        <color indexed="64"/>
      </left>
      <right style="thin">
        <color theme="0"/>
      </right>
      <top style="thin">
        <color theme="0"/>
      </top>
      <bottom/>
      <diagonal/>
    </border>
    <border>
      <left/>
      <right style="thin">
        <color indexed="64"/>
      </right>
      <top style="thin">
        <color theme="0"/>
      </top>
      <bottom style="thin">
        <color indexed="64"/>
      </bottom>
      <diagonal/>
    </border>
    <border>
      <left style="thin">
        <color indexed="64"/>
      </left>
      <right style="thin">
        <color theme="0"/>
      </right>
      <top/>
      <bottom style="thin">
        <color theme="0"/>
      </bottom>
      <diagonal/>
    </border>
    <border>
      <left style="thin">
        <color indexed="64"/>
      </left>
      <right/>
      <top style="thin">
        <color theme="0"/>
      </top>
      <bottom style="thin">
        <color theme="0"/>
      </bottom>
      <diagonal/>
    </border>
    <border>
      <left style="thin">
        <color indexed="64"/>
      </left>
      <right style="thin">
        <color theme="0"/>
      </right>
      <top style="thin">
        <color indexed="64"/>
      </top>
      <bottom style="thin">
        <color theme="0"/>
      </bottom>
      <diagonal/>
    </border>
    <border>
      <left style="dotted">
        <color theme="2"/>
      </left>
      <right style="dotted">
        <color theme="2"/>
      </right>
      <top style="dotted">
        <color theme="2"/>
      </top>
      <bottom style="dotted">
        <color theme="2"/>
      </bottom>
      <diagonal/>
    </border>
    <border>
      <left style="dotted">
        <color theme="6"/>
      </left>
      <right style="dotted">
        <color theme="6"/>
      </right>
      <top style="dotted">
        <color theme="6"/>
      </top>
      <bottom style="dotted">
        <color theme="6"/>
      </bottom>
      <diagonal/>
    </border>
    <border>
      <left/>
      <right style="dotted">
        <color theme="6"/>
      </right>
      <top style="thin">
        <color theme="0"/>
      </top>
      <bottom style="thin">
        <color theme="0"/>
      </bottom>
      <diagonal/>
    </border>
    <border>
      <left style="dotted">
        <color theme="6"/>
      </left>
      <right/>
      <top style="dotted">
        <color theme="6"/>
      </top>
      <bottom style="dotted">
        <color theme="6"/>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indexed="64"/>
      </right>
      <top style="thin">
        <color theme="0"/>
      </top>
      <bottom/>
      <diagonal/>
    </border>
  </borders>
  <cellStyleXfs count="8">
    <xf numFmtId="0" fontId="0" fillId="0" borderId="0"/>
    <xf numFmtId="44"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alignment vertical="top"/>
      <protection locked="0"/>
    </xf>
    <xf numFmtId="0" fontId="12" fillId="0" borderId="0"/>
    <xf numFmtId="0" fontId="12" fillId="0" borderId="0"/>
    <xf numFmtId="0" fontId="2" fillId="11" borderId="0" applyNumberFormat="0" applyBorder="0" applyAlignment="0" applyProtection="0"/>
  </cellStyleXfs>
  <cellXfs count="613">
    <xf numFmtId="0" fontId="0" fillId="0" borderId="0" xfId="0"/>
    <xf numFmtId="0" fontId="0" fillId="0" borderId="1" xfId="0" applyBorder="1"/>
    <xf numFmtId="0" fontId="0" fillId="0" borderId="4" xfId="0" applyBorder="1"/>
    <xf numFmtId="0" fontId="7" fillId="0" borderId="4" xfId="0" applyFont="1" applyBorder="1"/>
    <xf numFmtId="0" fontId="0" fillId="0" borderId="7" xfId="0" applyBorder="1"/>
    <xf numFmtId="0" fontId="0" fillId="0" borderId="5" xfId="0" applyBorder="1"/>
    <xf numFmtId="0" fontId="0" fillId="0" borderId="6" xfId="0" applyBorder="1"/>
    <xf numFmtId="0" fontId="0" fillId="0" borderId="11" xfId="0" applyBorder="1"/>
    <xf numFmtId="0" fontId="0" fillId="0" borderId="12" xfId="0" applyBorder="1"/>
    <xf numFmtId="0" fontId="14" fillId="6" borderId="0" xfId="0" applyFont="1" applyFill="1"/>
    <xf numFmtId="0" fontId="13" fillId="0" borderId="0" xfId="0" applyFont="1"/>
    <xf numFmtId="0" fontId="8" fillId="0" borderId="4" xfId="0" applyFont="1" applyBorder="1"/>
    <xf numFmtId="0" fontId="0" fillId="0" borderId="15" xfId="0" applyBorder="1"/>
    <xf numFmtId="0" fontId="0" fillId="0" borderId="16" xfId="0" applyBorder="1"/>
    <xf numFmtId="0" fontId="3" fillId="0" borderId="4" xfId="0" applyFont="1" applyBorder="1" applyAlignment="1">
      <alignment horizontal="left"/>
    </xf>
    <xf numFmtId="0" fontId="0" fillId="0" borderId="24" xfId="0" applyBorder="1"/>
    <xf numFmtId="0" fontId="0" fillId="0" borderId="28" xfId="0" applyBorder="1"/>
    <xf numFmtId="0" fontId="0" fillId="0" borderId="31" xfId="0" applyBorder="1"/>
    <xf numFmtId="0" fontId="15" fillId="0" borderId="4" xfId="0" applyFont="1" applyBorder="1"/>
    <xf numFmtId="0" fontId="8" fillId="0" borderId="6" xfId="0" applyFont="1" applyBorder="1"/>
    <xf numFmtId="0" fontId="3" fillId="0" borderId="4" xfId="0" applyFont="1" applyBorder="1"/>
    <xf numFmtId="0" fontId="3" fillId="0" borderId="12" xfId="0" applyFont="1" applyBorder="1"/>
    <xf numFmtId="0" fontId="10" fillId="0" borderId="4" xfId="0" applyFont="1" applyBorder="1"/>
    <xf numFmtId="166" fontId="0" fillId="0" borderId="7" xfId="0" applyNumberFormat="1" applyBorder="1"/>
    <xf numFmtId="166" fontId="0" fillId="0" borderId="4" xfId="0" applyNumberFormat="1" applyBorder="1"/>
    <xf numFmtId="166" fontId="0" fillId="0" borderId="5" xfId="0" applyNumberFormat="1" applyBorder="1"/>
    <xf numFmtId="0" fontId="21" fillId="0" borderId="4" xfId="0" applyFont="1" applyBorder="1"/>
    <xf numFmtId="0" fontId="9" fillId="0" borderId="4" xfId="0" applyFont="1" applyBorder="1" applyAlignment="1">
      <alignment horizontal="left"/>
    </xf>
    <xf numFmtId="0" fontId="0" fillId="0" borderId="35" xfId="0" applyBorder="1"/>
    <xf numFmtId="0" fontId="0" fillId="0" borderId="36" xfId="0" applyBorder="1"/>
    <xf numFmtId="0" fontId="20" fillId="0" borderId="24" xfId="0" applyFont="1" applyBorder="1"/>
    <xf numFmtId="0" fontId="3" fillId="0" borderId="24" xfId="0" applyFont="1" applyBorder="1" applyAlignment="1">
      <alignment horizontal="left"/>
    </xf>
    <xf numFmtId="0" fontId="9" fillId="0" borderId="24" xfId="0" applyFont="1" applyBorder="1" applyAlignment="1">
      <alignment horizontal="left"/>
    </xf>
    <xf numFmtId="0" fontId="9" fillId="0" borderId="12" xfId="0" applyFont="1" applyBorder="1" applyAlignment="1">
      <alignment horizontal="left"/>
    </xf>
    <xf numFmtId="0" fontId="10" fillId="0" borderId="5" xfId="0" applyFont="1" applyBorder="1"/>
    <xf numFmtId="0" fontId="19" fillId="8" borderId="39" xfId="0" applyFont="1" applyFill="1" applyBorder="1"/>
    <xf numFmtId="0" fontId="19" fillId="8" borderId="40" xfId="0" applyFont="1" applyFill="1" applyBorder="1"/>
    <xf numFmtId="0" fontId="19" fillId="8" borderId="41" xfId="0" applyFont="1" applyFill="1" applyBorder="1"/>
    <xf numFmtId="0" fontId="3" fillId="0" borderId="35" xfId="0" applyFont="1" applyBorder="1" applyAlignment="1">
      <alignment horizontal="left"/>
    </xf>
    <xf numFmtId="0" fontId="9" fillId="0" borderId="35" xfId="0" applyFont="1" applyBorder="1" applyAlignment="1">
      <alignment horizontal="left"/>
    </xf>
    <xf numFmtId="0" fontId="10" fillId="0" borderId="36" xfId="0" applyFont="1" applyBorder="1"/>
    <xf numFmtId="0" fontId="0" fillId="0" borderId="37" xfId="0" applyBorder="1"/>
    <xf numFmtId="0" fontId="0" fillId="0" borderId="38" xfId="0" applyBorder="1"/>
    <xf numFmtId="0" fontId="23" fillId="0" borderId="12" xfId="0" applyFont="1" applyBorder="1" applyAlignment="1">
      <alignment horizontal="left" vertical="center"/>
    </xf>
    <xf numFmtId="0" fontId="20" fillId="0" borderId="16" xfId="0" applyFont="1" applyBorder="1" applyAlignment="1">
      <alignment horizontal="left"/>
    </xf>
    <xf numFmtId="0" fontId="23" fillId="0" borderId="12" xfId="0" applyFont="1" applyBorder="1" applyAlignment="1">
      <alignment horizontal="left"/>
    </xf>
    <xf numFmtId="0" fontId="20" fillId="0" borderId="12" xfId="3" applyFont="1" applyFill="1" applyBorder="1" applyAlignment="1">
      <alignment horizontal="left" vertical="center" wrapText="1" indent="1"/>
    </xf>
    <xf numFmtId="0" fontId="23" fillId="0" borderId="30" xfId="0" applyFont="1" applyBorder="1" applyAlignment="1">
      <alignment horizontal="left"/>
    </xf>
    <xf numFmtId="0" fontId="4" fillId="0" borderId="15" xfId="3" applyFill="1" applyBorder="1" applyAlignment="1">
      <alignment horizontal="left" vertical="center" wrapText="1" indent="1"/>
    </xf>
    <xf numFmtId="0" fontId="23" fillId="0" borderId="12" xfId="3" applyFont="1" applyFill="1" applyBorder="1" applyAlignment="1">
      <alignment horizontal="left" vertical="center" wrapText="1" indent="1"/>
    </xf>
    <xf numFmtId="0" fontId="20" fillId="0" borderId="15" xfId="0" applyFont="1" applyBorder="1" applyAlignment="1">
      <alignment horizontal="left"/>
    </xf>
    <xf numFmtId="0" fontId="8" fillId="0" borderId="31" xfId="0" applyFont="1" applyBorder="1"/>
    <xf numFmtId="0" fontId="0" fillId="0" borderId="14" xfId="0" applyBorder="1"/>
    <xf numFmtId="0" fontId="8" fillId="0" borderId="1" xfId="0" applyFont="1" applyBorder="1"/>
    <xf numFmtId="44" fontId="0" fillId="0" borderId="0" xfId="1" applyFont="1" applyBorder="1"/>
    <xf numFmtId="44" fontId="0" fillId="0" borderId="5" xfId="1" applyFont="1" applyBorder="1"/>
    <xf numFmtId="44" fontId="0" fillId="0" borderId="4" xfId="1" applyFont="1" applyBorder="1"/>
    <xf numFmtId="44" fontId="0" fillId="10" borderId="0" xfId="1" applyFont="1" applyFill="1" applyBorder="1"/>
    <xf numFmtId="44" fontId="0" fillId="0" borderId="0" xfId="1" applyFont="1" applyFill="1" applyBorder="1"/>
    <xf numFmtId="44" fontId="0" fillId="0" borderId="6" xfId="1" applyFont="1" applyFill="1" applyBorder="1"/>
    <xf numFmtId="44" fontId="0" fillId="0" borderId="4" xfId="1" applyFont="1" applyFill="1" applyBorder="1"/>
    <xf numFmtId="167" fontId="0" fillId="0" borderId="0" xfId="1" applyNumberFormat="1" applyFont="1" applyFill="1" applyBorder="1"/>
    <xf numFmtId="167" fontId="0" fillId="0" borderId="6" xfId="1" applyNumberFormat="1" applyFont="1" applyFill="1" applyBorder="1"/>
    <xf numFmtId="167" fontId="0" fillId="0" borderId="5" xfId="1" applyNumberFormat="1" applyFont="1" applyFill="1" applyBorder="1"/>
    <xf numFmtId="167" fontId="0" fillId="0" borderId="4" xfId="1" applyNumberFormat="1" applyFont="1" applyFill="1" applyBorder="1"/>
    <xf numFmtId="167" fontId="0" fillId="10" borderId="0" xfId="1" applyNumberFormat="1" applyFont="1" applyFill="1" applyBorder="1"/>
    <xf numFmtId="167" fontId="7" fillId="4" borderId="1" xfId="1" applyNumberFormat="1" applyFont="1" applyFill="1" applyBorder="1"/>
    <xf numFmtId="0" fontId="2" fillId="2" borderId="0" xfId="7" applyFill="1" applyBorder="1" applyAlignment="1">
      <alignment horizontal="center"/>
    </xf>
    <xf numFmtId="0" fontId="2" fillId="2" borderId="0" xfId="7" applyFill="1" applyBorder="1"/>
    <xf numFmtId="0" fontId="2" fillId="2" borderId="0" xfId="7" applyFill="1" applyBorder="1" applyAlignment="1"/>
    <xf numFmtId="0" fontId="2" fillId="2" borderId="20" xfId="7" applyFill="1" applyBorder="1"/>
    <xf numFmtId="0" fontId="2" fillId="2" borderId="19" xfId="7" applyFill="1" applyBorder="1"/>
    <xf numFmtId="0" fontId="2" fillId="2" borderId="13" xfId="7" applyFill="1" applyBorder="1"/>
    <xf numFmtId="0" fontId="1" fillId="2" borderId="20" xfId="7" applyFont="1" applyFill="1" applyBorder="1"/>
    <xf numFmtId="0" fontId="1" fillId="14" borderId="20" xfId="7" applyFont="1" applyFill="1" applyBorder="1"/>
    <xf numFmtId="0" fontId="2" fillId="14" borderId="0" xfId="7" applyFill="1" applyBorder="1"/>
    <xf numFmtId="0" fontId="2" fillId="14" borderId="0" xfId="7" applyFill="1" applyBorder="1" applyAlignment="1">
      <alignment horizontal="center"/>
    </xf>
    <xf numFmtId="0" fontId="1" fillId="14" borderId="0" xfId="7" applyFont="1" applyFill="1" applyBorder="1"/>
    <xf numFmtId="0" fontId="1" fillId="2" borderId="0" xfId="7" applyFont="1" applyFill="1" applyBorder="1"/>
    <xf numFmtId="0" fontId="0" fillId="2" borderId="0" xfId="0" applyFill="1"/>
    <xf numFmtId="9" fontId="0" fillId="2" borderId="0" xfId="2" applyFont="1" applyFill="1" applyBorder="1"/>
    <xf numFmtId="0" fontId="8" fillId="2" borderId="1" xfId="7" applyFont="1" applyFill="1" applyBorder="1"/>
    <xf numFmtId="0" fontId="0" fillId="2" borderId="0" xfId="0" applyFill="1" applyAlignment="1">
      <alignment horizontal="center"/>
    </xf>
    <xf numFmtId="0" fontId="2" fillId="2" borderId="13" xfId="7" applyFill="1" applyBorder="1" applyAlignment="1">
      <alignment horizontal="center"/>
    </xf>
    <xf numFmtId="0" fontId="3" fillId="0" borderId="31" xfId="0" applyFont="1" applyBorder="1"/>
    <xf numFmtId="0" fontId="0" fillId="10" borderId="31" xfId="0" applyFill="1" applyBorder="1"/>
    <xf numFmtId="0" fontId="8" fillId="2" borderId="6" xfId="0" applyFont="1" applyFill="1" applyBorder="1"/>
    <xf numFmtId="0" fontId="0" fillId="2" borderId="1" xfId="0" applyFill="1" applyBorder="1"/>
    <xf numFmtId="0" fontId="0" fillId="2" borderId="5" xfId="0" applyFill="1" applyBorder="1"/>
    <xf numFmtId="0" fontId="0" fillId="2" borderId="4" xfId="0" applyFill="1" applyBorder="1"/>
    <xf numFmtId="0" fontId="0" fillId="15" borderId="31" xfId="0" applyFill="1" applyBorder="1"/>
    <xf numFmtId="44" fontId="0" fillId="2" borderId="0" xfId="1" applyFont="1" applyFill="1" applyBorder="1"/>
    <xf numFmtId="40" fontId="0" fillId="0" borderId="5" xfId="0" applyNumberFormat="1" applyBorder="1"/>
    <xf numFmtId="40" fontId="0" fillId="0" borderId="45" xfId="0" applyNumberFormat="1" applyBorder="1"/>
    <xf numFmtId="40" fontId="0" fillId="4" borderId="28" xfId="0" applyNumberFormat="1" applyFill="1" applyBorder="1"/>
    <xf numFmtId="0" fontId="19" fillId="12" borderId="31" xfId="0" applyFont="1" applyFill="1" applyBorder="1" applyAlignment="1">
      <alignment horizontal="center" vertical="center"/>
    </xf>
    <xf numFmtId="0" fontId="0" fillId="0" borderId="31" xfId="0" applyBorder="1" applyAlignment="1">
      <alignment vertical="center"/>
    </xf>
    <xf numFmtId="0" fontId="0" fillId="2" borderId="22" xfId="0" applyFill="1" applyBorder="1"/>
    <xf numFmtId="44" fontId="0" fillId="0" borderId="7" xfId="1" applyFont="1" applyBorder="1"/>
    <xf numFmtId="44" fontId="0" fillId="0" borderId="31" xfId="1" applyFont="1" applyBorder="1"/>
    <xf numFmtId="0" fontId="0" fillId="0" borderId="29" xfId="0" applyBorder="1"/>
    <xf numFmtId="44" fontId="0" fillId="0" borderId="29" xfId="1" applyFont="1" applyBorder="1"/>
    <xf numFmtId="44" fontId="0" fillId="4" borderId="29" xfId="1" applyFont="1" applyFill="1" applyBorder="1"/>
    <xf numFmtId="40" fontId="19" fillId="12" borderId="31" xfId="0" applyNumberFormat="1" applyFont="1" applyFill="1" applyBorder="1" applyAlignment="1">
      <alignment horizontal="center" vertical="center"/>
    </xf>
    <xf numFmtId="40" fontId="3" fillId="0" borderId="7" xfId="0" applyNumberFormat="1" applyFont="1" applyBorder="1"/>
    <xf numFmtId="40" fontId="3" fillId="0" borderId="31" xfId="0" applyNumberFormat="1" applyFont="1" applyBorder="1"/>
    <xf numFmtId="40" fontId="3" fillId="0" borderId="29" xfId="0" applyNumberFormat="1" applyFont="1" applyBorder="1"/>
    <xf numFmtId="40" fontId="3" fillId="0" borderId="28" xfId="0" applyNumberFormat="1" applyFont="1" applyBorder="1"/>
    <xf numFmtId="40" fontId="3" fillId="4" borderId="29" xfId="0" applyNumberFormat="1" applyFont="1" applyFill="1" applyBorder="1"/>
    <xf numFmtId="40" fontId="0" fillId="0" borderId="7" xfId="0" applyNumberFormat="1" applyBorder="1"/>
    <xf numFmtId="40" fontId="3" fillId="0" borderId="9" xfId="0" applyNumberFormat="1" applyFont="1" applyBorder="1"/>
    <xf numFmtId="40" fontId="1" fillId="0" borderId="31" xfId="0" applyNumberFormat="1" applyFont="1" applyBorder="1" applyAlignment="1">
      <alignment horizontal="center" vertical="center"/>
    </xf>
    <xf numFmtId="0" fontId="31" fillId="2" borderId="24" xfId="0" applyFont="1" applyFill="1" applyBorder="1"/>
    <xf numFmtId="0" fontId="7" fillId="2" borderId="46" xfId="0" applyFont="1" applyFill="1" applyBorder="1"/>
    <xf numFmtId="0" fontId="7" fillId="0" borderId="46" xfId="0" applyFont="1" applyBorder="1" applyAlignment="1">
      <alignment wrapText="1"/>
    </xf>
    <xf numFmtId="0" fontId="7" fillId="0" borderId="46" xfId="0" applyFont="1" applyBorder="1"/>
    <xf numFmtId="0" fontId="2" fillId="2" borderId="0" xfId="7" applyFill="1" applyBorder="1" applyAlignment="1">
      <alignment horizontal="center" vertical="center"/>
    </xf>
    <xf numFmtId="0" fontId="19" fillId="13" borderId="17" xfId="7" applyFont="1" applyFill="1" applyBorder="1" applyAlignment="1">
      <alignment horizontal="center" vertical="center"/>
    </xf>
    <xf numFmtId="0" fontId="2" fillId="2" borderId="13" xfId="7" applyFill="1" applyBorder="1" applyAlignment="1">
      <alignment horizontal="center" vertical="center"/>
    </xf>
    <xf numFmtId="0" fontId="2" fillId="14" borderId="0" xfId="7" applyFill="1" applyBorder="1" applyAlignment="1">
      <alignment horizontal="center" vertical="center"/>
    </xf>
    <xf numFmtId="0" fontId="1" fillId="14" borderId="0" xfId="7" applyFont="1" applyFill="1" applyBorder="1" applyAlignment="1">
      <alignment horizontal="center" vertical="center"/>
    </xf>
    <xf numFmtId="0" fontId="1" fillId="2" borderId="0" xfId="7" applyFont="1" applyFill="1" applyBorder="1" applyAlignment="1">
      <alignment horizontal="center" vertical="center"/>
    </xf>
    <xf numFmtId="0" fontId="19" fillId="12" borderId="17" xfId="7" applyFont="1" applyFill="1" applyBorder="1" applyAlignment="1">
      <alignment horizontal="center" vertical="center"/>
    </xf>
    <xf numFmtId="9" fontId="2" fillId="2" borderId="0" xfId="2" applyFill="1" applyBorder="1" applyAlignment="1">
      <alignment horizontal="center"/>
    </xf>
    <xf numFmtId="0" fontId="1" fillId="14" borderId="0" xfId="7" applyFont="1" applyFill="1" applyBorder="1" applyAlignment="1">
      <alignment horizontal="center"/>
    </xf>
    <xf numFmtId="0" fontId="1" fillId="2" borderId="0" xfId="7" applyFont="1" applyFill="1" applyBorder="1" applyAlignment="1">
      <alignment horizontal="center"/>
    </xf>
    <xf numFmtId="0" fontId="2" fillId="2" borderId="0" xfId="7" applyNumberFormat="1" applyFill="1" applyBorder="1" applyAlignment="1">
      <alignment horizontal="center"/>
    </xf>
    <xf numFmtId="44" fontId="2" fillId="2" borderId="0" xfId="1" applyFill="1" applyBorder="1" applyAlignment="1">
      <alignment horizontal="center"/>
    </xf>
    <xf numFmtId="9" fontId="2" fillId="2" borderId="13" xfId="2" applyFill="1" applyBorder="1" applyAlignment="1">
      <alignment horizontal="center"/>
    </xf>
    <xf numFmtId="44" fontId="2" fillId="2" borderId="13" xfId="1" applyFill="1" applyBorder="1" applyAlignment="1">
      <alignment horizontal="center"/>
    </xf>
    <xf numFmtId="0" fontId="2" fillId="2" borderId="8" xfId="7" applyFill="1" applyBorder="1" applyAlignment="1">
      <alignment horizontal="center"/>
    </xf>
    <xf numFmtId="9" fontId="2" fillId="2" borderId="13" xfId="7" applyNumberFormat="1" applyFill="1" applyBorder="1" applyAlignment="1">
      <alignment horizontal="center"/>
    </xf>
    <xf numFmtId="9" fontId="2" fillId="2" borderId="0" xfId="7" applyNumberFormat="1" applyFill="1" applyBorder="1" applyAlignment="1">
      <alignment horizontal="center"/>
    </xf>
    <xf numFmtId="9" fontId="2" fillId="2" borderId="8" xfId="2" applyFill="1" applyBorder="1" applyAlignment="1">
      <alignment horizontal="center"/>
    </xf>
    <xf numFmtId="0" fontId="2" fillId="2" borderId="8" xfId="2" applyNumberFormat="1" applyFill="1" applyBorder="1" applyAlignment="1">
      <alignment horizontal="center"/>
    </xf>
    <xf numFmtId="0" fontId="2" fillId="2" borderId="0" xfId="2" applyNumberFormat="1" applyFill="1" applyBorder="1" applyAlignment="1">
      <alignment horizontal="center"/>
    </xf>
    <xf numFmtId="9" fontId="1" fillId="14" borderId="0" xfId="7" applyNumberFormat="1" applyFont="1" applyFill="1" applyBorder="1" applyAlignment="1">
      <alignment horizontal="center"/>
    </xf>
    <xf numFmtId="0" fontId="1" fillId="14" borderId="0" xfId="7" applyNumberFormat="1" applyFont="1" applyFill="1" applyBorder="1" applyAlignment="1">
      <alignment horizontal="center"/>
    </xf>
    <xf numFmtId="9" fontId="1" fillId="2" borderId="0" xfId="7" applyNumberFormat="1" applyFont="1" applyFill="1" applyBorder="1" applyAlignment="1">
      <alignment horizontal="center"/>
    </xf>
    <xf numFmtId="0" fontId="1" fillId="2" borderId="0" xfId="7" applyNumberFormat="1" applyFont="1" applyFill="1" applyBorder="1" applyAlignment="1">
      <alignment horizontal="center"/>
    </xf>
    <xf numFmtId="0" fontId="2" fillId="14" borderId="0" xfId="7" applyNumberFormat="1" applyFill="1" applyBorder="1" applyAlignment="1">
      <alignment horizontal="center"/>
    </xf>
    <xf numFmtId="9" fontId="2" fillId="2" borderId="0" xfId="2" applyFont="1" applyFill="1" applyBorder="1" applyAlignment="1">
      <alignment horizontal="center"/>
    </xf>
    <xf numFmtId="9" fontId="2" fillId="2" borderId="13" xfId="2" applyFont="1" applyFill="1" applyBorder="1" applyAlignment="1">
      <alignment horizontal="center"/>
    </xf>
    <xf numFmtId="44" fontId="2" fillId="2" borderId="13" xfId="7" applyNumberFormat="1" applyFill="1" applyBorder="1" applyAlignment="1">
      <alignment horizontal="center"/>
    </xf>
    <xf numFmtId="44" fontId="2" fillId="2" borderId="0" xfId="7" applyNumberFormat="1" applyFill="1" applyBorder="1" applyAlignment="1">
      <alignment horizontal="center"/>
    </xf>
    <xf numFmtId="10" fontId="2" fillId="2" borderId="0" xfId="7" applyNumberFormat="1" applyFill="1" applyBorder="1" applyAlignment="1">
      <alignment horizontal="center"/>
    </xf>
    <xf numFmtId="164" fontId="2" fillId="2" borderId="0" xfId="7" applyNumberFormat="1" applyFill="1" applyBorder="1" applyAlignment="1">
      <alignment horizontal="center"/>
    </xf>
    <xf numFmtId="0" fontId="2" fillId="2" borderId="8" xfId="7" applyNumberFormat="1" applyFill="1" applyBorder="1" applyAlignment="1">
      <alignment horizontal="center"/>
    </xf>
    <xf numFmtId="44" fontId="2" fillId="2" borderId="8" xfId="1" applyFill="1" applyBorder="1" applyAlignment="1">
      <alignment horizontal="center"/>
    </xf>
    <xf numFmtId="0" fontId="2" fillId="2" borderId="3" xfId="7" applyFill="1" applyBorder="1" applyAlignment="1">
      <alignment horizontal="center"/>
    </xf>
    <xf numFmtId="9" fontId="2" fillId="2" borderId="21" xfId="2" applyFill="1" applyBorder="1" applyAlignment="1">
      <alignment horizontal="center"/>
    </xf>
    <xf numFmtId="9" fontId="2" fillId="2" borderId="3" xfId="2" applyFill="1" applyBorder="1" applyAlignment="1">
      <alignment horizontal="center"/>
    </xf>
    <xf numFmtId="0" fontId="2" fillId="2" borderId="21" xfId="7" applyNumberFormat="1" applyFill="1" applyBorder="1" applyAlignment="1">
      <alignment horizontal="center"/>
    </xf>
    <xf numFmtId="0" fontId="2" fillId="2" borderId="3" xfId="7" applyNumberFormat="1" applyFill="1" applyBorder="1" applyAlignment="1">
      <alignment horizontal="center"/>
    </xf>
    <xf numFmtId="44" fontId="2" fillId="2" borderId="21" xfId="1" applyFill="1" applyBorder="1" applyAlignment="1">
      <alignment horizontal="center"/>
    </xf>
    <xf numFmtId="44" fontId="2" fillId="2" borderId="3" xfId="1" applyFill="1" applyBorder="1" applyAlignment="1">
      <alignment horizontal="center"/>
    </xf>
    <xf numFmtId="44" fontId="2" fillId="2" borderId="22" xfId="1" applyFill="1" applyBorder="1" applyAlignment="1">
      <alignment horizontal="center"/>
    </xf>
    <xf numFmtId="10" fontId="2" fillId="2" borderId="21" xfId="7" applyNumberFormat="1" applyFill="1" applyBorder="1" applyAlignment="1">
      <alignment horizontal="center"/>
    </xf>
    <xf numFmtId="0" fontId="34" fillId="16" borderId="20" xfId="0" applyFont="1" applyFill="1" applyBorder="1"/>
    <xf numFmtId="44" fontId="0" fillId="2" borderId="0" xfId="1" applyFont="1" applyFill="1"/>
    <xf numFmtId="0" fontId="9" fillId="0" borderId="7" xfId="0" applyFont="1" applyBorder="1" applyAlignment="1">
      <alignment horizontal="left"/>
    </xf>
    <xf numFmtId="0" fontId="3" fillId="2" borderId="0" xfId="0" applyFont="1" applyFill="1" applyAlignment="1">
      <alignment horizontal="left"/>
    </xf>
    <xf numFmtId="0" fontId="9" fillId="2" borderId="0" xfId="0" applyFont="1" applyFill="1" applyAlignment="1">
      <alignment horizontal="left"/>
    </xf>
    <xf numFmtId="0" fontId="35" fillId="2" borderId="0" xfId="0" applyFont="1" applyFill="1"/>
    <xf numFmtId="0" fontId="27" fillId="2" borderId="15" xfId="0" applyFont="1" applyFill="1" applyBorder="1" applyAlignment="1">
      <alignment horizontal="center" vertical="center"/>
    </xf>
    <xf numFmtId="0" fontId="28" fillId="0" borderId="7" xfId="0" applyFont="1" applyBorder="1" applyAlignment="1">
      <alignment vertical="center"/>
    </xf>
    <xf numFmtId="0" fontId="0" fillId="2" borderId="20" xfId="0" applyFill="1" applyBorder="1"/>
    <xf numFmtId="0" fontId="26" fillId="2" borderId="20" xfId="0" applyFont="1" applyFill="1" applyBorder="1"/>
    <xf numFmtId="0" fontId="3" fillId="2" borderId="22" xfId="0" applyFont="1" applyFill="1" applyBorder="1" applyAlignment="1">
      <alignment horizontal="left"/>
    </xf>
    <xf numFmtId="0" fontId="9" fillId="2" borderId="22" xfId="0" applyFont="1" applyFill="1" applyBorder="1" applyAlignment="1">
      <alignment horizontal="left"/>
    </xf>
    <xf numFmtId="0" fontId="36" fillId="2" borderId="20" xfId="0" applyFont="1" applyFill="1" applyBorder="1"/>
    <xf numFmtId="0" fontId="0" fillId="0" borderId="44" xfId="0" applyBorder="1"/>
    <xf numFmtId="0" fontId="25" fillId="0" borderId="20" xfId="0" applyFont="1" applyBorder="1"/>
    <xf numFmtId="0" fontId="25" fillId="2" borderId="20" xfId="0" applyFont="1" applyFill="1" applyBorder="1"/>
    <xf numFmtId="0" fontId="28" fillId="2" borderId="49" xfId="0" applyFont="1" applyFill="1" applyBorder="1" applyAlignment="1">
      <alignment vertical="center"/>
    </xf>
    <xf numFmtId="0" fontId="0" fillId="0" borderId="42" xfId="0" applyBorder="1"/>
    <xf numFmtId="9" fontId="0" fillId="2" borderId="0" xfId="2" applyFont="1" applyFill="1" applyBorder="1" applyAlignment="1">
      <alignment horizontal="center"/>
    </xf>
    <xf numFmtId="9" fontId="0" fillId="0" borderId="7" xfId="2" applyFont="1" applyBorder="1" applyAlignment="1">
      <alignment horizontal="center"/>
    </xf>
    <xf numFmtId="0" fontId="0" fillId="2" borderId="47" xfId="0" applyFill="1" applyBorder="1"/>
    <xf numFmtId="9" fontId="0" fillId="2" borderId="17" xfId="2" applyFont="1" applyFill="1" applyBorder="1" applyAlignment="1">
      <alignment horizontal="center"/>
    </xf>
    <xf numFmtId="9" fontId="0" fillId="2" borderId="21" xfId="2" applyFont="1" applyFill="1" applyBorder="1" applyAlignment="1">
      <alignment horizontal="center"/>
    </xf>
    <xf numFmtId="9" fontId="0" fillId="2" borderId="22" xfId="2" applyFont="1" applyFill="1" applyBorder="1" applyAlignment="1">
      <alignment horizontal="center"/>
    </xf>
    <xf numFmtId="9" fontId="0" fillId="0" borderId="48" xfId="2" applyFont="1" applyBorder="1" applyAlignment="1">
      <alignment horizontal="center"/>
    </xf>
    <xf numFmtId="9" fontId="0" fillId="0" borderId="29" xfId="2" applyFont="1" applyBorder="1" applyAlignment="1">
      <alignment horizontal="center"/>
    </xf>
    <xf numFmtId="9" fontId="0" fillId="0" borderId="49" xfId="2" applyFont="1" applyBorder="1" applyAlignment="1">
      <alignment horizontal="center"/>
    </xf>
    <xf numFmtId="0" fontId="19" fillId="17" borderId="8" xfId="0" applyFont="1" applyFill="1" applyBorder="1" applyAlignment="1">
      <alignment horizontal="center" vertical="center" wrapText="1"/>
    </xf>
    <xf numFmtId="0" fontId="19" fillId="17" borderId="3" xfId="0" applyFont="1" applyFill="1" applyBorder="1" applyAlignment="1">
      <alignment horizontal="center" vertical="center" wrapText="1"/>
    </xf>
    <xf numFmtId="0" fontId="0" fillId="0" borderId="35" xfId="0" applyBorder="1" applyAlignment="1">
      <alignment vertical="center"/>
    </xf>
    <xf numFmtId="0" fontId="0" fillId="0" borderId="4" xfId="0" applyBorder="1" applyAlignment="1">
      <alignment vertical="center"/>
    </xf>
    <xf numFmtId="0" fontId="0" fillId="0" borderId="36" xfId="0" applyBorder="1" applyAlignment="1">
      <alignment horizontal="center" vertical="center"/>
    </xf>
    <xf numFmtId="0" fontId="39" fillId="9" borderId="36" xfId="0" applyFont="1" applyFill="1" applyBorder="1" applyAlignment="1">
      <alignment horizontal="center" vertical="center"/>
    </xf>
    <xf numFmtId="0" fontId="0" fillId="0" borderId="37" xfId="0" applyBorder="1" applyAlignment="1">
      <alignment vertical="center"/>
    </xf>
    <xf numFmtId="0" fontId="20" fillId="5" borderId="38" xfId="0" applyFont="1" applyFill="1" applyBorder="1" applyAlignment="1">
      <alignment horizontal="center" vertical="center"/>
    </xf>
    <xf numFmtId="0" fontId="40" fillId="0" borderId="30" xfId="0" applyFont="1" applyBorder="1" applyAlignment="1">
      <alignment horizontal="left"/>
    </xf>
    <xf numFmtId="0" fontId="7" fillId="0" borderId="32" xfId="0" applyFont="1" applyBorder="1"/>
    <xf numFmtId="0" fontId="7" fillId="0" borderId="6" xfId="0" applyFont="1" applyBorder="1"/>
    <xf numFmtId="0" fontId="7" fillId="0" borderId="12" xfId="0" applyFont="1" applyBorder="1"/>
    <xf numFmtId="0" fontId="7" fillId="2" borderId="12" xfId="0" applyFont="1" applyFill="1" applyBorder="1"/>
    <xf numFmtId="0" fontId="7" fillId="2" borderId="5" xfId="0" applyFont="1" applyFill="1" applyBorder="1"/>
    <xf numFmtId="0" fontId="7" fillId="0" borderId="5" xfId="0" applyFont="1" applyBorder="1"/>
    <xf numFmtId="0" fontId="41" fillId="0" borderId="15" xfId="3" applyFont="1" applyFill="1" applyBorder="1" applyAlignment="1">
      <alignment horizontal="left" vertical="center" wrapText="1" indent="1"/>
    </xf>
    <xf numFmtId="0" fontId="7" fillId="0" borderId="24" xfId="0" applyFont="1" applyBorder="1"/>
    <xf numFmtId="0" fontId="40" fillId="0" borderId="16" xfId="0" applyFont="1" applyBorder="1" applyAlignment="1">
      <alignment horizontal="left"/>
    </xf>
    <xf numFmtId="0" fontId="40" fillId="2" borderId="12" xfId="0" applyFont="1" applyFill="1" applyBorder="1"/>
    <xf numFmtId="0" fontId="40" fillId="2" borderId="25" xfId="0" applyFont="1" applyFill="1" applyBorder="1"/>
    <xf numFmtId="0" fontId="7" fillId="0" borderId="11" xfId="0" applyFont="1" applyBorder="1"/>
    <xf numFmtId="0" fontId="40" fillId="0" borderId="12" xfId="0" applyFont="1" applyBorder="1" applyAlignment="1">
      <alignment horizontal="left"/>
    </xf>
    <xf numFmtId="0" fontId="43" fillId="0" borderId="5" xfId="0" applyFont="1" applyBorder="1"/>
    <xf numFmtId="0" fontId="44" fillId="0" borderId="6" xfId="0" applyFont="1" applyBorder="1"/>
    <xf numFmtId="0" fontId="7" fillId="2" borderId="0" xfId="0" applyFont="1" applyFill="1"/>
    <xf numFmtId="0" fontId="7" fillId="0" borderId="28" xfId="0" applyFont="1" applyBorder="1"/>
    <xf numFmtId="0" fontId="8" fillId="0" borderId="11" xfId="0" applyFont="1" applyBorder="1"/>
    <xf numFmtId="0" fontId="8" fillId="2" borderId="0" xfId="0" applyFont="1" applyFill="1" applyAlignment="1">
      <alignment horizontal="center" vertical="center"/>
    </xf>
    <xf numFmtId="0" fontId="44" fillId="2" borderId="0" xfId="0" applyFont="1" applyFill="1" applyAlignment="1">
      <alignment horizontal="center" vertical="center"/>
    </xf>
    <xf numFmtId="0" fontId="40" fillId="0" borderId="12" xfId="3" applyFont="1" applyFill="1" applyBorder="1" applyAlignment="1">
      <alignment horizontal="left" vertical="center" wrapText="1" indent="1"/>
    </xf>
    <xf numFmtId="0" fontId="8" fillId="0" borderId="24" xfId="0" applyFont="1" applyBorder="1"/>
    <xf numFmtId="0" fontId="7" fillId="2" borderId="0" xfId="0" applyFont="1" applyFill="1" applyAlignment="1">
      <alignment horizontal="center" vertical="center"/>
    </xf>
    <xf numFmtId="0" fontId="8" fillId="0" borderId="32" xfId="0" applyFont="1" applyBorder="1"/>
    <xf numFmtId="9" fontId="7" fillId="2" borderId="0" xfId="2" applyFont="1" applyFill="1" applyBorder="1" applyAlignment="1">
      <alignment horizontal="center" vertical="center"/>
    </xf>
    <xf numFmtId="9" fontId="7" fillId="2" borderId="0" xfId="2" applyFont="1" applyFill="1" applyBorder="1"/>
    <xf numFmtId="0" fontId="7" fillId="0" borderId="7" xfId="0" applyFont="1" applyBorder="1"/>
    <xf numFmtId="0" fontId="8" fillId="2" borderId="0" xfId="0" applyFont="1" applyFill="1"/>
    <xf numFmtId="0" fontId="8" fillId="2" borderId="0" xfId="0" applyFont="1" applyFill="1" applyAlignment="1">
      <alignment horizontal="center"/>
    </xf>
    <xf numFmtId="0" fontId="7" fillId="2" borderId="0" xfId="0" applyFont="1" applyFill="1" applyAlignment="1">
      <alignment horizontal="center"/>
    </xf>
    <xf numFmtId="0" fontId="44" fillId="2" borderId="0" xfId="0" applyFont="1" applyFill="1"/>
    <xf numFmtId="9" fontId="7" fillId="2" borderId="0" xfId="0" applyNumberFormat="1" applyFont="1" applyFill="1" applyAlignment="1">
      <alignment horizontal="center" vertical="center"/>
    </xf>
    <xf numFmtId="0" fontId="40" fillId="0" borderId="12" xfId="0" applyFont="1" applyBorder="1" applyAlignment="1">
      <alignment horizontal="left" vertical="center"/>
    </xf>
    <xf numFmtId="0" fontId="45" fillId="2" borderId="0" xfId="0" applyFont="1" applyFill="1" applyAlignment="1">
      <alignment horizontal="center" vertical="center"/>
    </xf>
    <xf numFmtId="9" fontId="45" fillId="2" borderId="0" xfId="2" applyFont="1" applyFill="1" applyBorder="1" applyAlignment="1">
      <alignment horizontal="center" vertical="center"/>
    </xf>
    <xf numFmtId="0" fontId="7" fillId="0" borderId="30" xfId="0" applyFont="1" applyBorder="1"/>
    <xf numFmtId="0" fontId="8" fillId="0" borderId="25" xfId="0" applyFont="1" applyBorder="1"/>
    <xf numFmtId="0" fontId="7" fillId="0" borderId="16" xfId="0" applyFont="1" applyBorder="1"/>
    <xf numFmtId="0" fontId="31" fillId="2" borderId="0" xfId="3" applyFont="1" applyFill="1" applyBorder="1" applyAlignment="1">
      <alignment horizontal="center" vertical="center"/>
    </xf>
    <xf numFmtId="0" fontId="40" fillId="0" borderId="4" xfId="0" applyFont="1" applyBorder="1" applyAlignment="1">
      <alignment horizontal="left" vertical="center"/>
    </xf>
    <xf numFmtId="0" fontId="40" fillId="0" borderId="6" xfId="0" applyFont="1" applyBorder="1" applyAlignment="1">
      <alignment horizontal="left"/>
    </xf>
    <xf numFmtId="0" fontId="41" fillId="0" borderId="7" xfId="3" applyFont="1" applyFill="1" applyBorder="1" applyAlignment="1">
      <alignment horizontal="left" vertical="center" wrapText="1" indent="1"/>
    </xf>
    <xf numFmtId="0" fontId="40" fillId="0" borderId="4" xfId="0" applyFont="1" applyBorder="1" applyAlignment="1">
      <alignment horizontal="left"/>
    </xf>
    <xf numFmtId="0" fontId="40" fillId="0" borderId="4" xfId="3" applyFont="1" applyFill="1" applyBorder="1" applyAlignment="1">
      <alignment horizontal="left" vertical="center" wrapText="1" indent="1"/>
    </xf>
    <xf numFmtId="0" fontId="8" fillId="2" borderId="0" xfId="7" applyFont="1" applyFill="1" applyBorder="1" applyAlignment="1">
      <alignment horizontal="center"/>
    </xf>
    <xf numFmtId="0" fontId="8" fillId="2" borderId="0" xfId="7" applyFont="1" applyFill="1" applyBorder="1" applyAlignment="1">
      <alignment horizontal="left"/>
    </xf>
    <xf numFmtId="0" fontId="8" fillId="2" borderId="0" xfId="7" applyFont="1" applyFill="1" applyBorder="1" applyAlignment="1">
      <alignment horizontal="left" vertical="center" wrapText="1" indent="1"/>
    </xf>
    <xf numFmtId="0" fontId="7" fillId="2" borderId="0" xfId="7" applyFont="1" applyFill="1" applyBorder="1" applyAlignment="1">
      <alignment horizontal="left" vertical="center" wrapText="1" indent="1"/>
    </xf>
    <xf numFmtId="0" fontId="7" fillId="2" borderId="0" xfId="7" applyFont="1" applyFill="1" applyBorder="1" applyAlignment="1">
      <alignment horizontal="left"/>
    </xf>
    <xf numFmtId="0" fontId="7" fillId="2" borderId="0" xfId="7" applyFont="1" applyFill="1" applyBorder="1" applyAlignment="1">
      <alignment horizontal="left" vertical="center"/>
    </xf>
    <xf numFmtId="0" fontId="31" fillId="0" borderId="30" xfId="0" applyFont="1" applyBorder="1" applyAlignment="1">
      <alignment horizontal="left"/>
    </xf>
    <xf numFmtId="0" fontId="47" fillId="0" borderId="15" xfId="3" applyFont="1" applyFill="1" applyBorder="1" applyAlignment="1">
      <alignment horizontal="left" vertical="center" wrapText="1" indent="1"/>
    </xf>
    <xf numFmtId="0" fontId="31" fillId="0" borderId="15" xfId="0" applyFont="1" applyBorder="1" applyAlignment="1">
      <alignment horizontal="left"/>
    </xf>
    <xf numFmtId="0" fontId="31" fillId="0" borderId="16" xfId="0" applyFont="1" applyBorder="1" applyAlignment="1">
      <alignment horizontal="left"/>
    </xf>
    <xf numFmtId="0" fontId="31" fillId="0" borderId="12" xfId="0" applyFont="1" applyBorder="1" applyAlignment="1">
      <alignment horizontal="left"/>
    </xf>
    <xf numFmtId="0" fontId="31" fillId="0" borderId="12" xfId="3" applyFont="1" applyFill="1" applyBorder="1" applyAlignment="1">
      <alignment horizontal="left" vertical="center" wrapText="1" indent="1"/>
    </xf>
    <xf numFmtId="0" fontId="40" fillId="0" borderId="15" xfId="0" applyFont="1" applyBorder="1" applyAlignment="1">
      <alignment horizontal="left"/>
    </xf>
    <xf numFmtId="0" fontId="40" fillId="0" borderId="7" xfId="3" applyFont="1" applyFill="1" applyBorder="1" applyAlignment="1">
      <alignment horizontal="left" vertical="center" wrapText="1" indent="1"/>
    </xf>
    <xf numFmtId="0" fontId="20" fillId="8" borderId="36" xfId="0" applyFont="1" applyFill="1" applyBorder="1" applyAlignment="1">
      <alignment horizontal="center" vertical="center"/>
    </xf>
    <xf numFmtId="0" fontId="1" fillId="2" borderId="19" xfId="7" applyFont="1" applyFill="1" applyBorder="1"/>
    <xf numFmtId="9" fontId="1" fillId="2" borderId="13" xfId="7" applyNumberFormat="1" applyFont="1" applyFill="1" applyBorder="1" applyAlignment="1">
      <alignment horizontal="center"/>
    </xf>
    <xf numFmtId="0" fontId="0" fillId="0" borderId="4" xfId="0" applyBorder="1" applyAlignment="1">
      <alignment horizontal="center"/>
    </xf>
    <xf numFmtId="0" fontId="50" fillId="2" borderId="0" xfId="7" applyFont="1" applyFill="1" applyBorder="1" applyAlignment="1">
      <alignment horizontal="center"/>
    </xf>
    <xf numFmtId="0" fontId="2" fillId="2" borderId="0" xfId="1" applyNumberFormat="1" applyFill="1" applyBorder="1" applyAlignment="1">
      <alignment horizontal="center"/>
    </xf>
    <xf numFmtId="0" fontId="19" fillId="13" borderId="17" xfId="7" applyNumberFormat="1" applyFont="1" applyFill="1" applyBorder="1" applyAlignment="1">
      <alignment horizontal="center"/>
    </xf>
    <xf numFmtId="0" fontId="2" fillId="2" borderId="13" xfId="7" applyNumberFormat="1" applyFill="1" applyBorder="1" applyAlignment="1">
      <alignment horizontal="center"/>
    </xf>
    <xf numFmtId="0" fontId="19" fillId="12" borderId="17" xfId="7" applyNumberFormat="1" applyFont="1" applyFill="1" applyBorder="1" applyAlignment="1">
      <alignment horizontal="center"/>
    </xf>
    <xf numFmtId="0" fontId="2" fillId="2" borderId="13" xfId="2" applyNumberFormat="1" applyFill="1" applyBorder="1" applyAlignment="1">
      <alignment horizontal="center"/>
    </xf>
    <xf numFmtId="0" fontId="2" fillId="2" borderId="13" xfId="1" applyNumberFormat="1" applyFill="1" applyBorder="1" applyAlignment="1">
      <alignment horizontal="center"/>
    </xf>
    <xf numFmtId="0" fontId="0" fillId="2" borderId="6" xfId="0" applyFill="1" applyBorder="1"/>
    <xf numFmtId="0" fontId="0" fillId="2" borderId="51" xfId="0" applyFill="1" applyBorder="1"/>
    <xf numFmtId="0" fontId="0" fillId="0" borderId="51" xfId="0" applyBorder="1"/>
    <xf numFmtId="0" fontId="0" fillId="2" borderId="13" xfId="0" applyFill="1" applyBorder="1"/>
    <xf numFmtId="0" fontId="0" fillId="0" borderId="6" xfId="0" applyBorder="1" applyAlignment="1">
      <alignment horizontal="center"/>
    </xf>
    <xf numFmtId="0" fontId="0" fillId="0" borderId="51" xfId="0" applyBorder="1" applyAlignment="1">
      <alignment horizontal="center"/>
    </xf>
    <xf numFmtId="0" fontId="0" fillId="0" borderId="31" xfId="0" applyBorder="1" applyAlignment="1">
      <alignment horizontal="center"/>
    </xf>
    <xf numFmtId="0" fontId="0" fillId="0" borderId="7" xfId="0" applyBorder="1" applyAlignment="1">
      <alignment horizontal="center"/>
    </xf>
    <xf numFmtId="9" fontId="2" fillId="2" borderId="2" xfId="2" applyFill="1" applyBorder="1" applyAlignment="1">
      <alignment horizontal="center"/>
    </xf>
    <xf numFmtId="0" fontId="2" fillId="2" borderId="21" xfId="2" applyNumberFormat="1" applyFill="1" applyBorder="1" applyAlignment="1">
      <alignment horizontal="center"/>
    </xf>
    <xf numFmtId="0" fontId="41" fillId="0" borderId="4" xfId="3" applyFont="1" applyFill="1" applyBorder="1" applyAlignment="1">
      <alignment horizontal="center" vertical="center" wrapText="1"/>
    </xf>
    <xf numFmtId="0" fontId="7" fillId="19" borderId="46" xfId="0" applyFont="1" applyFill="1" applyBorder="1" applyAlignment="1">
      <alignment wrapText="1"/>
    </xf>
    <xf numFmtId="0" fontId="7" fillId="3" borderId="1" xfId="0" applyFont="1" applyFill="1" applyBorder="1"/>
    <xf numFmtId="0" fontId="7" fillId="20" borderId="1" xfId="0" applyFont="1" applyFill="1" applyBorder="1"/>
    <xf numFmtId="0" fontId="7" fillId="0" borderId="1" xfId="0" applyFont="1" applyBorder="1"/>
    <xf numFmtId="0" fontId="7" fillId="19" borderId="1" xfId="0" applyFont="1" applyFill="1" applyBorder="1"/>
    <xf numFmtId="0" fontId="2" fillId="19" borderId="8" xfId="7" applyFill="1" applyBorder="1" applyAlignment="1">
      <alignment horizontal="center"/>
    </xf>
    <xf numFmtId="9" fontId="2" fillId="19" borderId="17" xfId="2" applyFill="1" applyBorder="1" applyAlignment="1">
      <alignment horizontal="center"/>
    </xf>
    <xf numFmtId="9" fontId="2" fillId="19" borderId="8" xfId="2" applyFill="1" applyBorder="1" applyAlignment="1">
      <alignment horizontal="center"/>
    </xf>
    <xf numFmtId="44" fontId="2" fillId="19" borderId="8" xfId="1" applyFill="1" applyBorder="1" applyAlignment="1">
      <alignment horizontal="center"/>
    </xf>
    <xf numFmtId="44" fontId="2" fillId="19" borderId="17" xfId="1" applyFill="1" applyBorder="1" applyAlignment="1">
      <alignment horizontal="center"/>
    </xf>
    <xf numFmtId="0" fontId="2" fillId="19" borderId="8" xfId="2" applyNumberFormat="1" applyFill="1" applyBorder="1" applyAlignment="1">
      <alignment horizontal="center"/>
    </xf>
    <xf numFmtId="0" fontId="2" fillId="19" borderId="17" xfId="2" applyNumberFormat="1" applyFill="1" applyBorder="1" applyAlignment="1">
      <alignment horizontal="center"/>
    </xf>
    <xf numFmtId="0" fontId="2" fillId="19" borderId="8" xfId="7" applyNumberFormat="1" applyFill="1" applyBorder="1" applyAlignment="1">
      <alignment horizontal="center"/>
    </xf>
    <xf numFmtId="0" fontId="19" fillId="13" borderId="21" xfId="7" applyFont="1" applyFill="1" applyBorder="1" applyAlignment="1">
      <alignment horizontal="center" vertical="center"/>
    </xf>
    <xf numFmtId="0" fontId="2" fillId="2" borderId="3" xfId="2" applyNumberFormat="1" applyFill="1" applyBorder="1" applyAlignment="1">
      <alignment horizontal="center"/>
    </xf>
    <xf numFmtId="0" fontId="2" fillId="2" borderId="2" xfId="7" applyFill="1" applyBorder="1" applyAlignment="1">
      <alignment horizontal="center"/>
    </xf>
    <xf numFmtId="0" fontId="2" fillId="2" borderId="18" xfId="7" applyNumberFormat="1" applyFill="1" applyBorder="1" applyAlignment="1">
      <alignment horizontal="center"/>
    </xf>
    <xf numFmtId="0" fontId="2" fillId="2" borderId="2" xfId="7" applyNumberFormat="1" applyFill="1" applyBorder="1" applyAlignment="1">
      <alignment horizontal="center"/>
    </xf>
    <xf numFmtId="0" fontId="2" fillId="2" borderId="19" xfId="7" applyNumberFormat="1" applyFill="1" applyBorder="1" applyAlignment="1">
      <alignment horizontal="center"/>
    </xf>
    <xf numFmtId="10" fontId="2" fillId="2" borderId="3" xfId="7" applyNumberFormat="1" applyFill="1" applyBorder="1" applyAlignment="1">
      <alignment horizontal="center"/>
    </xf>
    <xf numFmtId="10" fontId="2" fillId="2" borderId="2" xfId="7" applyNumberFormat="1" applyFill="1" applyBorder="1" applyAlignment="1">
      <alignment horizontal="center"/>
    </xf>
    <xf numFmtId="10" fontId="2" fillId="2" borderId="13" xfId="7" applyNumberFormat="1" applyFill="1" applyBorder="1" applyAlignment="1">
      <alignment horizontal="center"/>
    </xf>
    <xf numFmtId="44" fontId="2" fillId="2" borderId="17" xfId="1" applyFill="1" applyBorder="1" applyAlignment="1">
      <alignment horizontal="center"/>
    </xf>
    <xf numFmtId="9" fontId="2" fillId="2" borderId="17" xfId="2" applyFill="1" applyBorder="1" applyAlignment="1">
      <alignment horizontal="center"/>
    </xf>
    <xf numFmtId="0" fontId="2" fillId="19" borderId="0" xfId="7" applyFill="1" applyBorder="1" applyAlignment="1">
      <alignment horizontal="center"/>
    </xf>
    <xf numFmtId="0" fontId="0" fillId="0" borderId="30" xfId="0" applyBorder="1"/>
    <xf numFmtId="0" fontId="0" fillId="0" borderId="5" xfId="0" applyBorder="1" applyAlignment="1">
      <alignment horizontal="center"/>
    </xf>
    <xf numFmtId="0" fontId="20" fillId="8" borderId="31" xfId="0" applyFont="1" applyFill="1" applyBorder="1" applyAlignment="1">
      <alignment horizontal="center"/>
    </xf>
    <xf numFmtId="0" fontId="20" fillId="8" borderId="50" xfId="0" applyFont="1" applyFill="1" applyBorder="1" applyAlignment="1">
      <alignment horizontal="center"/>
    </xf>
    <xf numFmtId="0" fontId="20" fillId="8" borderId="13" xfId="0" applyFont="1" applyFill="1" applyBorder="1" applyAlignment="1">
      <alignment horizontal="center"/>
    </xf>
    <xf numFmtId="0" fontId="3" fillId="2" borderId="4" xfId="0" applyFont="1" applyFill="1" applyBorder="1" applyAlignment="1">
      <alignment horizontal="left"/>
    </xf>
    <xf numFmtId="0" fontId="9" fillId="22" borderId="4" xfId="0" applyFont="1" applyFill="1" applyBorder="1" applyAlignment="1">
      <alignment horizontal="left"/>
    </xf>
    <xf numFmtId="0" fontId="9" fillId="2" borderId="4" xfId="0" applyFont="1" applyFill="1" applyBorder="1" applyAlignment="1">
      <alignment horizontal="left"/>
    </xf>
    <xf numFmtId="0" fontId="0" fillId="2" borderId="4" xfId="0" applyFill="1" applyBorder="1" applyAlignment="1">
      <alignment wrapText="1"/>
    </xf>
    <xf numFmtId="0" fontId="7" fillId="2" borderId="0" xfId="7" applyFont="1" applyFill="1" applyBorder="1"/>
    <xf numFmtId="0" fontId="22" fillId="2" borderId="24" xfId="0" applyFont="1" applyFill="1" applyBorder="1"/>
    <xf numFmtId="0" fontId="22" fillId="2" borderId="5" xfId="0" applyFont="1" applyFill="1" applyBorder="1"/>
    <xf numFmtId="0" fontId="48" fillId="22" borderId="0" xfId="0" applyFont="1" applyFill="1" applyAlignment="1">
      <alignment horizontal="center" vertical="center"/>
    </xf>
    <xf numFmtId="0" fontId="49" fillId="2" borderId="0" xfId="0" applyFont="1" applyFill="1" applyAlignment="1">
      <alignment horizontal="left" vertical="center"/>
    </xf>
    <xf numFmtId="0" fontId="49" fillId="2" borderId="0" xfId="0" quotePrefix="1" applyFont="1" applyFill="1" applyAlignment="1">
      <alignment horizontal="left" vertical="center"/>
    </xf>
    <xf numFmtId="0" fontId="53" fillId="8" borderId="18" xfId="0" applyFont="1" applyFill="1" applyBorder="1" applyAlignment="1">
      <alignment horizontal="left" vertical="center"/>
    </xf>
    <xf numFmtId="0" fontId="53" fillId="8" borderId="17" xfId="0" applyFont="1" applyFill="1" applyBorder="1" applyAlignment="1">
      <alignment horizontal="left" vertical="center"/>
    </xf>
    <xf numFmtId="0" fontId="53" fillId="8" borderId="17" xfId="0" applyFont="1" applyFill="1" applyBorder="1"/>
    <xf numFmtId="0" fontId="53" fillId="8" borderId="21" xfId="0" applyFont="1" applyFill="1" applyBorder="1"/>
    <xf numFmtId="0" fontId="49" fillId="2" borderId="20" xfId="0" applyFont="1" applyFill="1" applyBorder="1" applyAlignment="1">
      <alignment horizontal="left" vertical="center"/>
    </xf>
    <xf numFmtId="0" fontId="54" fillId="2" borderId="20" xfId="0" applyFont="1" applyFill="1" applyBorder="1" applyAlignment="1">
      <alignment horizontal="left" vertical="center"/>
    </xf>
    <xf numFmtId="0" fontId="49" fillId="2" borderId="20" xfId="0" applyFont="1" applyFill="1" applyBorder="1" applyAlignment="1">
      <alignment horizontal="left" vertical="center" indent="1"/>
    </xf>
    <xf numFmtId="0" fontId="0" fillId="2" borderId="19" xfId="0" applyFill="1" applyBorder="1"/>
    <xf numFmtId="0" fontId="0" fillId="2" borderId="23" xfId="0" applyFill="1" applyBorder="1"/>
    <xf numFmtId="0" fontId="1" fillId="2" borderId="20" xfId="0" applyFont="1" applyFill="1" applyBorder="1"/>
    <xf numFmtId="0" fontId="0" fillId="0" borderId="32" xfId="0" applyBorder="1"/>
    <xf numFmtId="0" fontId="8" fillId="0" borderId="53" xfId="0" applyFont="1" applyBorder="1" applyAlignment="1">
      <alignment horizontal="center" vertical="center"/>
    </xf>
    <xf numFmtId="0" fontId="19" fillId="12" borderId="38" xfId="0" applyFont="1" applyFill="1" applyBorder="1" applyAlignment="1">
      <alignment horizontal="center" vertical="center"/>
    </xf>
    <xf numFmtId="0" fontId="3" fillId="2" borderId="20" xfId="0" applyFont="1" applyFill="1" applyBorder="1"/>
    <xf numFmtId="40" fontId="0" fillId="0" borderId="42" xfId="0" applyNumberFormat="1" applyBorder="1"/>
    <xf numFmtId="0" fontId="3" fillId="2" borderId="19" xfId="0" applyFont="1" applyFill="1" applyBorder="1"/>
    <xf numFmtId="40" fontId="0" fillId="0" borderId="54" xfId="0" applyNumberFormat="1" applyBorder="1"/>
    <xf numFmtId="40" fontId="0" fillId="4" borderId="47" xfId="0" applyNumberFormat="1" applyFill="1" applyBorder="1"/>
    <xf numFmtId="0" fontId="0" fillId="0" borderId="55" xfId="0" applyBorder="1"/>
    <xf numFmtId="0" fontId="31" fillId="2" borderId="42" xfId="0" applyFont="1" applyFill="1" applyBorder="1"/>
    <xf numFmtId="40" fontId="0" fillId="0" borderId="53" xfId="0" applyNumberFormat="1" applyBorder="1"/>
    <xf numFmtId="40" fontId="3" fillId="2" borderId="20" xfId="0" applyNumberFormat="1" applyFont="1" applyFill="1" applyBorder="1"/>
    <xf numFmtId="40" fontId="3" fillId="0" borderId="55" xfId="0" applyNumberFormat="1" applyFont="1" applyBorder="1"/>
    <xf numFmtId="40" fontId="3" fillId="0" borderId="37" xfId="0" applyNumberFormat="1" applyFont="1" applyBorder="1"/>
    <xf numFmtId="40" fontId="3" fillId="0" borderId="35" xfId="0" applyNumberFormat="1" applyFont="1" applyBorder="1"/>
    <xf numFmtId="40" fontId="0" fillId="0" borderId="55" xfId="0" applyNumberFormat="1" applyBorder="1"/>
    <xf numFmtId="40" fontId="0" fillId="0" borderId="35" xfId="0" applyNumberFormat="1" applyBorder="1"/>
    <xf numFmtId="40" fontId="0" fillId="0" borderId="37" xfId="0" applyNumberFormat="1" applyBorder="1"/>
    <xf numFmtId="40" fontId="3" fillId="2" borderId="26" xfId="0" applyNumberFormat="1" applyFont="1" applyFill="1" applyBorder="1"/>
    <xf numFmtId="40" fontId="0" fillId="0" borderId="11" xfId="0" applyNumberFormat="1" applyBorder="1"/>
    <xf numFmtId="40" fontId="3" fillId="0" borderId="57" xfId="0" applyNumberFormat="1" applyFont="1" applyBorder="1"/>
    <xf numFmtId="44" fontId="0" fillId="0" borderId="10" xfId="1" applyFont="1" applyBorder="1"/>
    <xf numFmtId="44" fontId="0" fillId="0" borderId="52" xfId="1" applyFont="1" applyBorder="1"/>
    <xf numFmtId="44" fontId="0" fillId="4" borderId="3" xfId="1" applyFont="1" applyFill="1" applyBorder="1"/>
    <xf numFmtId="0" fontId="3" fillId="0" borderId="1" xfId="0" applyFont="1" applyBorder="1" applyAlignment="1">
      <alignment horizontal="center" vertical="center"/>
    </xf>
    <xf numFmtId="0" fontId="3" fillId="0" borderId="1" xfId="0" applyFont="1" applyBorder="1" applyAlignment="1">
      <alignment horizontal="center"/>
    </xf>
    <xf numFmtId="0" fontId="0" fillId="3" borderId="1" xfId="0" applyFill="1" applyBorder="1" applyAlignment="1">
      <alignment horizontal="center" vertical="center"/>
    </xf>
    <xf numFmtId="165" fontId="0" fillId="0" borderId="1" xfId="0" applyNumberFormat="1" applyBorder="1" applyAlignment="1">
      <alignment horizontal="center"/>
    </xf>
    <xf numFmtId="0" fontId="0" fillId="2" borderId="27" xfId="0" applyFill="1" applyBorder="1" applyAlignment="1">
      <alignment horizontal="center"/>
    </xf>
    <xf numFmtId="0" fontId="19" fillId="12" borderId="17" xfId="7" applyFont="1" applyFill="1" applyBorder="1" applyAlignment="1">
      <alignment horizontal="center"/>
    </xf>
    <xf numFmtId="0" fontId="19" fillId="13" borderId="17" xfId="7" applyFont="1" applyFill="1" applyBorder="1" applyAlignment="1">
      <alignment horizontal="center"/>
    </xf>
    <xf numFmtId="0" fontId="51" fillId="2" borderId="0" xfId="7" applyFont="1" applyFill="1" applyBorder="1" applyAlignment="1">
      <alignment horizontal="center" vertical="center"/>
    </xf>
    <xf numFmtId="0" fontId="52" fillId="2" borderId="0" xfId="7" applyFont="1" applyFill="1" applyBorder="1" applyAlignment="1">
      <alignment horizontal="center" vertical="center"/>
    </xf>
    <xf numFmtId="0" fontId="50" fillId="2" borderId="0" xfId="7" applyFont="1" applyFill="1" applyBorder="1" applyAlignment="1">
      <alignment horizontal="center" vertical="center"/>
    </xf>
    <xf numFmtId="9" fontId="1" fillId="2" borderId="0" xfId="2" applyFont="1" applyFill="1" applyBorder="1" applyAlignment="1">
      <alignment horizontal="center"/>
    </xf>
    <xf numFmtId="0" fontId="0" fillId="2" borderId="22" xfId="7" applyFont="1" applyFill="1" applyBorder="1" applyAlignment="1">
      <alignment vertical="center" wrapText="1"/>
    </xf>
    <xf numFmtId="0" fontId="0" fillId="2" borderId="22" xfId="0" applyFill="1" applyBorder="1" applyAlignment="1">
      <alignment vertical="center"/>
    </xf>
    <xf numFmtId="0" fontId="0" fillId="2" borderId="22" xfId="0" applyFill="1" applyBorder="1" applyAlignment="1">
      <alignment vertical="center" wrapText="1"/>
    </xf>
    <xf numFmtId="0" fontId="55" fillId="2" borderId="22" xfId="0" applyFont="1" applyFill="1" applyBorder="1" applyAlignment="1">
      <alignment vertical="center" wrapText="1"/>
    </xf>
    <xf numFmtId="0" fontId="0" fillId="2" borderId="7" xfId="0" applyFill="1" applyBorder="1"/>
    <xf numFmtId="0" fontId="31" fillId="2" borderId="16" xfId="0" applyFont="1" applyFill="1" applyBorder="1" applyAlignment="1">
      <alignment horizontal="left" vertical="center"/>
    </xf>
    <xf numFmtId="0" fontId="8" fillId="2" borderId="0" xfId="0" applyFont="1" applyFill="1" applyAlignment="1">
      <alignment horizontal="center" vertical="center" wrapText="1"/>
    </xf>
    <xf numFmtId="0" fontId="50" fillId="0" borderId="4" xfId="0" applyFont="1" applyBorder="1" applyAlignment="1">
      <alignment horizontal="center" vertical="center"/>
    </xf>
    <xf numFmtId="0" fontId="50" fillId="0" borderId="12" xfId="0" applyFont="1" applyBorder="1" applyAlignment="1">
      <alignment horizontal="center" vertical="center"/>
    </xf>
    <xf numFmtId="0" fontId="50" fillId="0" borderId="5" xfId="0" applyFont="1" applyBorder="1" applyAlignment="1">
      <alignment horizontal="center" vertical="center"/>
    </xf>
    <xf numFmtId="0" fontId="0" fillId="2" borderId="22" xfId="7" applyFont="1" applyFill="1" applyBorder="1" applyAlignment="1">
      <alignment vertical="center"/>
    </xf>
    <xf numFmtId="0" fontId="0" fillId="2" borderId="23" xfId="7" applyFont="1" applyFill="1" applyBorder="1" applyAlignment="1">
      <alignment vertical="center"/>
    </xf>
    <xf numFmtId="0" fontId="0" fillId="2" borderId="0" xfId="7" applyFont="1" applyFill="1" applyBorder="1" applyAlignment="1">
      <alignment vertical="center"/>
    </xf>
    <xf numFmtId="0" fontId="0" fillId="14" borderId="22" xfId="7" applyFont="1" applyFill="1" applyBorder="1" applyAlignment="1">
      <alignment vertical="center"/>
    </xf>
    <xf numFmtId="0" fontId="0" fillId="0" borderId="22" xfId="0" applyBorder="1" applyAlignment="1">
      <alignment vertical="center"/>
    </xf>
    <xf numFmtId="0" fontId="1" fillId="14" borderId="22" xfId="7" applyFont="1" applyFill="1" applyBorder="1" applyAlignment="1">
      <alignment vertical="center"/>
    </xf>
    <xf numFmtId="0" fontId="1" fillId="2" borderId="22" xfId="7" applyFont="1" applyFill="1" applyBorder="1" applyAlignment="1">
      <alignment vertical="center"/>
    </xf>
    <xf numFmtId="0" fontId="10" fillId="23" borderId="22" xfId="0" applyFont="1" applyFill="1" applyBorder="1" applyAlignment="1">
      <alignment vertical="center"/>
    </xf>
    <xf numFmtId="0" fontId="8" fillId="2" borderId="0" xfId="7" applyFont="1" applyFill="1" applyBorder="1" applyAlignment="1">
      <alignment horizontal="center" vertical="center"/>
    </xf>
    <xf numFmtId="0" fontId="3" fillId="2" borderId="0" xfId="7" applyFont="1" applyFill="1" applyBorder="1" applyAlignment="1">
      <alignment horizontal="center"/>
    </xf>
    <xf numFmtId="0" fontId="19" fillId="13" borderId="18" xfId="7" applyFont="1" applyFill="1" applyBorder="1" applyAlignment="1">
      <alignment horizontal="center"/>
    </xf>
    <xf numFmtId="0" fontId="7" fillId="2" borderId="0" xfId="7" applyFont="1" applyFill="1" applyBorder="1" applyAlignment="1">
      <alignment horizontal="center" vertical="center" wrapText="1"/>
    </xf>
    <xf numFmtId="0" fontId="7" fillId="2" borderId="0" xfId="7" applyFont="1" applyFill="1" applyBorder="1" applyAlignment="1">
      <alignment horizontal="center"/>
    </xf>
    <xf numFmtId="0" fontId="19" fillId="12" borderId="18" xfId="7" applyFont="1" applyFill="1" applyBorder="1" applyAlignment="1">
      <alignment horizontal="center"/>
    </xf>
    <xf numFmtId="0" fontId="19" fillId="12" borderId="21" xfId="7" applyFont="1" applyFill="1" applyBorder="1" applyAlignment="1">
      <alignment horizontal="center" vertical="center"/>
    </xf>
    <xf numFmtId="0" fontId="7" fillId="2" borderId="0" xfId="7" applyFont="1" applyFill="1" applyBorder="1" applyAlignment="1">
      <alignment horizontal="center" vertical="center"/>
    </xf>
    <xf numFmtId="44" fontId="0" fillId="2" borderId="0" xfId="0" applyNumberFormat="1" applyFill="1"/>
    <xf numFmtId="0" fontId="0" fillId="2" borderId="29" xfId="0" applyFill="1" applyBorder="1"/>
    <xf numFmtId="9" fontId="0" fillId="2" borderId="13" xfId="2" applyFont="1" applyFill="1" applyBorder="1"/>
    <xf numFmtId="0" fontId="0" fillId="2" borderId="26" xfId="0" applyFill="1" applyBorder="1"/>
    <xf numFmtId="0" fontId="0" fillId="2" borderId="13" xfId="0" applyFill="1" applyBorder="1" applyAlignment="1">
      <alignment horizontal="center"/>
    </xf>
    <xf numFmtId="44" fontId="0" fillId="2" borderId="27" xfId="1" applyFont="1" applyFill="1" applyBorder="1"/>
    <xf numFmtId="44" fontId="0" fillId="2" borderId="29" xfId="1" applyFont="1" applyFill="1" applyBorder="1"/>
    <xf numFmtId="44" fontId="0" fillId="2" borderId="26" xfId="1" applyFont="1" applyFill="1" applyBorder="1"/>
    <xf numFmtId="0" fontId="8" fillId="21" borderId="13" xfId="0" applyFont="1" applyFill="1" applyBorder="1" applyAlignment="1">
      <alignment horizontal="center" vertical="center" wrapText="1"/>
    </xf>
    <xf numFmtId="0" fontId="8" fillId="21" borderId="13" xfId="0" applyFont="1" applyFill="1" applyBorder="1" applyAlignment="1">
      <alignment horizontal="center" vertical="center"/>
    </xf>
    <xf numFmtId="9" fontId="8" fillId="21" borderId="13" xfId="2" applyFont="1" applyFill="1" applyBorder="1" applyAlignment="1">
      <alignment horizontal="center" vertical="center" wrapText="1"/>
    </xf>
    <xf numFmtId="0" fontId="0" fillId="2" borderId="29" xfId="0" applyFill="1" applyBorder="1" applyAlignment="1">
      <alignment horizontal="center"/>
    </xf>
    <xf numFmtId="9" fontId="0" fillId="2" borderId="29" xfId="2" applyFont="1" applyFill="1" applyBorder="1" applyAlignment="1">
      <alignment horizontal="center"/>
    </xf>
    <xf numFmtId="9" fontId="0" fillId="2" borderId="26" xfId="2" applyFont="1" applyFill="1" applyBorder="1" applyAlignment="1">
      <alignment horizontal="center"/>
    </xf>
    <xf numFmtId="9" fontId="0" fillId="2" borderId="13" xfId="2" applyFont="1" applyFill="1" applyBorder="1" applyAlignment="1">
      <alignment horizontal="center"/>
    </xf>
    <xf numFmtId="0" fontId="23" fillId="2" borderId="13" xfId="0" applyFont="1" applyFill="1" applyBorder="1" applyAlignment="1">
      <alignment horizontal="center" vertical="center"/>
    </xf>
    <xf numFmtId="9" fontId="0" fillId="2" borderId="0" xfId="2" applyFont="1" applyFill="1" applyAlignment="1">
      <alignment horizontal="center"/>
    </xf>
    <xf numFmtId="0" fontId="8" fillId="21" borderId="0" xfId="0" applyFont="1" applyFill="1" applyAlignment="1">
      <alignment horizontal="center" vertical="center" wrapText="1"/>
    </xf>
    <xf numFmtId="2" fontId="0" fillId="21" borderId="0" xfId="2" applyNumberFormat="1" applyFont="1" applyFill="1" applyBorder="1"/>
    <xf numFmtId="0" fontId="0" fillId="21" borderId="0" xfId="0" applyFill="1"/>
    <xf numFmtId="0" fontId="40" fillId="0" borderId="16" xfId="0" applyFont="1" applyBorder="1" applyAlignment="1">
      <alignment horizontal="left" vertical="center"/>
    </xf>
    <xf numFmtId="0" fontId="40" fillId="2" borderId="4" xfId="0" applyFont="1" applyFill="1" applyBorder="1" applyAlignment="1">
      <alignment horizontal="left" vertical="center"/>
    </xf>
    <xf numFmtId="0" fontId="0" fillId="2" borderId="4" xfId="0" applyFill="1" applyBorder="1" applyAlignment="1">
      <alignment horizontal="center"/>
    </xf>
    <xf numFmtId="9" fontId="0" fillId="2" borderId="4" xfId="2" applyFont="1" applyFill="1" applyBorder="1" applyAlignment="1">
      <alignment horizontal="center"/>
    </xf>
    <xf numFmtId="0" fontId="0" fillId="2" borderId="6" xfId="0" applyFill="1" applyBorder="1" applyAlignment="1">
      <alignment horizontal="center"/>
    </xf>
    <xf numFmtId="9" fontId="0" fillId="2" borderId="6" xfId="2" applyFont="1" applyFill="1" applyBorder="1" applyAlignment="1">
      <alignment horizontal="center"/>
    </xf>
    <xf numFmtId="0" fontId="0" fillId="2" borderId="58" xfId="0" applyFill="1" applyBorder="1"/>
    <xf numFmtId="44" fontId="8" fillId="21" borderId="13" xfId="1" applyFont="1" applyFill="1" applyBorder="1" applyAlignment="1">
      <alignment horizontal="center" vertical="center" wrapText="1"/>
    </xf>
    <xf numFmtId="44" fontId="0" fillId="2" borderId="32" xfId="1" applyFont="1" applyFill="1" applyBorder="1"/>
    <xf numFmtId="44" fontId="0" fillId="2" borderId="6" xfId="1" applyFont="1" applyFill="1" applyBorder="1"/>
    <xf numFmtId="44" fontId="0" fillId="2" borderId="30" xfId="1" applyFont="1" applyFill="1" applyBorder="1"/>
    <xf numFmtId="44" fontId="0" fillId="2" borderId="28" xfId="1" applyFont="1" applyFill="1" applyBorder="1"/>
    <xf numFmtId="44" fontId="0" fillId="2" borderId="7" xfId="1" applyFont="1" applyFill="1" applyBorder="1"/>
    <xf numFmtId="44" fontId="0" fillId="2" borderId="16" xfId="1" applyFont="1" applyFill="1" applyBorder="1"/>
    <xf numFmtId="44" fontId="0" fillId="2" borderId="59" xfId="1" applyFont="1" applyFill="1" applyBorder="1"/>
    <xf numFmtId="164" fontId="0" fillId="21" borderId="59" xfId="2" applyNumberFormat="1" applyFont="1" applyFill="1" applyBorder="1"/>
    <xf numFmtId="9" fontId="0" fillId="2" borderId="6" xfId="2" applyFont="1" applyFill="1" applyBorder="1"/>
    <xf numFmtId="9" fontId="0" fillId="2" borderId="7" xfId="2" applyFont="1" applyFill="1" applyBorder="1"/>
    <xf numFmtId="9" fontId="0" fillId="2" borderId="59" xfId="2" applyFont="1" applyFill="1" applyBorder="1"/>
    <xf numFmtId="9" fontId="8" fillId="21" borderId="59" xfId="2" applyFont="1" applyFill="1" applyBorder="1" applyAlignment="1">
      <alignment horizontal="center" vertical="center" wrapText="1"/>
    </xf>
    <xf numFmtId="0" fontId="0" fillId="2" borderId="59" xfId="0" applyFill="1" applyBorder="1"/>
    <xf numFmtId="2" fontId="0" fillId="2" borderId="59" xfId="0" applyNumberFormat="1" applyFill="1" applyBorder="1"/>
    <xf numFmtId="2" fontId="0" fillId="21" borderId="59" xfId="2" applyNumberFormat="1" applyFont="1" applyFill="1" applyBorder="1"/>
    <xf numFmtId="2" fontId="0" fillId="2" borderId="7" xfId="0" applyNumberFormat="1" applyFill="1" applyBorder="1"/>
    <xf numFmtId="0" fontId="0" fillId="2" borderId="59" xfId="0" applyFill="1" applyBorder="1" applyAlignment="1">
      <alignment horizontal="center"/>
    </xf>
    <xf numFmtId="9" fontId="0" fillId="2" borderId="59" xfId="2" applyFont="1" applyFill="1" applyBorder="1" applyAlignment="1">
      <alignment horizontal="center"/>
    </xf>
    <xf numFmtId="0" fontId="1" fillId="2" borderId="59" xfId="0" applyFont="1" applyFill="1" applyBorder="1" applyAlignment="1">
      <alignment horizontal="center"/>
    </xf>
    <xf numFmtId="0" fontId="28" fillId="21" borderId="59" xfId="0" applyFont="1" applyFill="1" applyBorder="1" applyAlignment="1">
      <alignment horizontal="center" vertical="center"/>
    </xf>
    <xf numFmtId="0" fontId="8" fillId="21" borderId="59" xfId="0" applyFont="1" applyFill="1" applyBorder="1" applyAlignment="1">
      <alignment horizontal="center" vertical="center" wrapText="1"/>
    </xf>
    <xf numFmtId="0" fontId="8" fillId="21" borderId="59" xfId="0" applyFont="1" applyFill="1" applyBorder="1" applyAlignment="1">
      <alignment horizontal="center" vertical="center"/>
    </xf>
    <xf numFmtId="0" fontId="40" fillId="0" borderId="0" xfId="0" applyFont="1" applyAlignment="1">
      <alignment horizontal="left" vertical="center"/>
    </xf>
    <xf numFmtId="0" fontId="31" fillId="2" borderId="0" xfId="0" applyFont="1" applyFill="1" applyAlignment="1">
      <alignment horizontal="left" vertical="center"/>
    </xf>
    <xf numFmtId="0" fontId="0" fillId="21" borderId="0" xfId="0" applyFill="1" applyAlignment="1">
      <alignment horizontal="center"/>
    </xf>
    <xf numFmtId="9" fontId="0" fillId="21" borderId="0" xfId="2" applyFont="1" applyFill="1" applyAlignment="1">
      <alignment horizontal="center"/>
    </xf>
    <xf numFmtId="165" fontId="0" fillId="21" borderId="0" xfId="0" applyNumberFormat="1" applyFill="1"/>
    <xf numFmtId="9" fontId="0" fillId="21" borderId="0" xfId="2" applyFont="1" applyFill="1" applyBorder="1"/>
    <xf numFmtId="44" fontId="0" fillId="21" borderId="0" xfId="1" applyFont="1" applyFill="1"/>
    <xf numFmtId="0" fontId="0" fillId="21" borderId="59" xfId="2" applyNumberFormat="1" applyFont="1" applyFill="1" applyBorder="1" applyAlignment="1">
      <alignment horizontal="center"/>
    </xf>
    <xf numFmtId="44" fontId="0" fillId="2" borderId="61" xfId="1" applyFont="1" applyFill="1" applyBorder="1"/>
    <xf numFmtId="164" fontId="0" fillId="21" borderId="61" xfId="2" applyNumberFormat="1" applyFont="1" applyFill="1" applyBorder="1"/>
    <xf numFmtId="0" fontId="28" fillId="0" borderId="52" xfId="0" applyFont="1" applyBorder="1" applyAlignment="1">
      <alignment horizontal="center" vertical="center"/>
    </xf>
    <xf numFmtId="0" fontId="28" fillId="0" borderId="48" xfId="0" applyFont="1" applyBorder="1" applyAlignment="1">
      <alignment horizontal="center" vertical="center"/>
    </xf>
    <xf numFmtId="0" fontId="7" fillId="0" borderId="0" xfId="7" applyFont="1" applyFill="1" applyBorder="1" applyAlignment="1">
      <alignment horizontal="left" vertical="center"/>
    </xf>
    <xf numFmtId="0" fontId="2" fillId="0" borderId="0" xfId="7" applyFill="1" applyBorder="1"/>
    <xf numFmtId="0" fontId="50" fillId="0" borderId="0" xfId="7" applyFont="1" applyFill="1" applyBorder="1" applyAlignment="1">
      <alignment horizontal="center" vertical="center"/>
    </xf>
    <xf numFmtId="0" fontId="2" fillId="0" borderId="20" xfId="7" applyFill="1" applyBorder="1"/>
    <xf numFmtId="0" fontId="2" fillId="0" borderId="0" xfId="7" applyNumberFormat="1" applyFill="1" applyBorder="1" applyAlignment="1">
      <alignment horizontal="center"/>
    </xf>
    <xf numFmtId="0" fontId="2" fillId="0" borderId="3" xfId="7" applyFill="1" applyBorder="1" applyAlignment="1">
      <alignment horizontal="center"/>
    </xf>
    <xf numFmtId="0" fontId="2" fillId="0" borderId="2" xfId="7" applyFill="1" applyBorder="1" applyAlignment="1">
      <alignment horizontal="center"/>
    </xf>
    <xf numFmtId="0" fontId="2" fillId="0" borderId="0" xfId="7" applyFill="1" applyBorder="1" applyAlignment="1">
      <alignment horizontal="center" vertical="center"/>
    </xf>
    <xf numFmtId="0" fontId="0" fillId="0" borderId="22" xfId="7" applyFont="1" applyFill="1" applyBorder="1" applyAlignment="1">
      <alignment vertical="center"/>
    </xf>
    <xf numFmtId="0" fontId="2" fillId="19" borderId="13" xfId="2" applyNumberFormat="1" applyFont="1" applyFill="1" applyBorder="1" applyAlignment="1">
      <alignment horizontal="center"/>
    </xf>
    <xf numFmtId="9" fontId="2" fillId="19" borderId="13" xfId="2" applyFill="1" applyBorder="1" applyAlignment="1">
      <alignment horizontal="center"/>
    </xf>
    <xf numFmtId="9" fontId="2" fillId="2" borderId="18" xfId="2" applyFill="1" applyBorder="1" applyAlignment="1">
      <alignment horizontal="center"/>
    </xf>
    <xf numFmtId="9" fontId="2" fillId="2" borderId="23" xfId="2" applyFill="1" applyBorder="1" applyAlignment="1">
      <alignment horizontal="center"/>
    </xf>
    <xf numFmtId="9" fontId="2" fillId="2" borderId="19" xfId="2" applyFill="1" applyBorder="1" applyAlignment="1">
      <alignment horizontal="center"/>
    </xf>
    <xf numFmtId="0" fontId="2" fillId="24" borderId="17" xfId="2" applyNumberFormat="1" applyFill="1" applyBorder="1" applyAlignment="1">
      <alignment horizontal="center"/>
    </xf>
    <xf numFmtId="9" fontId="10" fillId="25" borderId="8" xfId="0" applyNumberFormat="1" applyFont="1" applyFill="1" applyBorder="1" applyAlignment="1">
      <alignment horizontal="center"/>
    </xf>
    <xf numFmtId="1" fontId="2" fillId="2" borderId="3" xfId="7" applyNumberFormat="1" applyFill="1" applyBorder="1" applyAlignment="1">
      <alignment horizontal="center"/>
    </xf>
    <xf numFmtId="1" fontId="2" fillId="3" borderId="8" xfId="7" applyNumberFormat="1" applyFill="1" applyBorder="1" applyAlignment="1">
      <alignment horizontal="center"/>
    </xf>
    <xf numFmtId="0" fontId="0" fillId="2" borderId="0" xfId="7" applyFont="1" applyFill="1" applyBorder="1" applyAlignment="1">
      <alignment horizontal="left" vertical="center"/>
    </xf>
    <xf numFmtId="9" fontId="2" fillId="3" borderId="17" xfId="2" applyFill="1" applyBorder="1" applyAlignment="1">
      <alignment horizontal="center"/>
    </xf>
    <xf numFmtId="0" fontId="2" fillId="20" borderId="8" xfId="2" applyNumberFormat="1" applyFill="1" applyBorder="1" applyAlignment="1">
      <alignment horizontal="center"/>
    </xf>
    <xf numFmtId="0" fontId="2" fillId="2" borderId="0" xfId="7" applyFill="1" applyBorder="1" applyAlignment="1">
      <alignment horizontal="left" vertical="center"/>
    </xf>
    <xf numFmtId="0" fontId="56" fillId="2" borderId="0" xfId="0" applyFont="1" applyFill="1"/>
    <xf numFmtId="44" fontId="2" fillId="4" borderId="8" xfId="1" applyFill="1" applyBorder="1" applyAlignment="1">
      <alignment horizontal="center"/>
    </xf>
    <xf numFmtId="44" fontId="2" fillId="4" borderId="17" xfId="1" applyFill="1" applyBorder="1" applyAlignment="1">
      <alignment horizontal="center"/>
    </xf>
    <xf numFmtId="0" fontId="0" fillId="0" borderId="0" xfId="0" applyAlignment="1">
      <alignment wrapText="1"/>
    </xf>
    <xf numFmtId="44" fontId="0" fillId="0" borderId="0" xfId="1" applyFont="1"/>
    <xf numFmtId="2" fontId="0" fillId="0" borderId="0" xfId="0" applyNumberFormat="1"/>
    <xf numFmtId="0" fontId="0" fillId="0" borderId="0" xfId="0" applyAlignment="1">
      <alignment horizontal="right"/>
    </xf>
    <xf numFmtId="0" fontId="0" fillId="0" borderId="62" xfId="0" applyBorder="1"/>
    <xf numFmtId="0" fontId="3" fillId="0" borderId="63" xfId="0" applyFont="1" applyBorder="1"/>
    <xf numFmtId="0" fontId="0" fillId="0" borderId="64" xfId="0" applyBorder="1"/>
    <xf numFmtId="0" fontId="0" fillId="0" borderId="65" xfId="0" applyBorder="1"/>
    <xf numFmtId="40" fontId="0" fillId="0" borderId="66" xfId="0" applyNumberFormat="1" applyBorder="1"/>
    <xf numFmtId="0" fontId="0" fillId="0" borderId="66" xfId="0" applyBorder="1"/>
    <xf numFmtId="0" fontId="0" fillId="0" borderId="67" xfId="0" applyBorder="1"/>
    <xf numFmtId="0" fontId="2" fillId="2" borderId="0" xfId="7" applyFill="1" applyBorder="1" applyAlignment="1">
      <alignment horizontal="right"/>
    </xf>
    <xf numFmtId="2" fontId="2" fillId="19" borderId="8" xfId="7" applyNumberFormat="1" applyFill="1" applyBorder="1" applyAlignment="1">
      <alignment horizontal="center"/>
    </xf>
    <xf numFmtId="9" fontId="0" fillId="0" borderId="66" xfId="0" applyNumberFormat="1" applyBorder="1"/>
    <xf numFmtId="0" fontId="57" fillId="0" borderId="0" xfId="0" applyFont="1"/>
    <xf numFmtId="2" fontId="0" fillId="0" borderId="66" xfId="0" applyNumberFormat="1" applyBorder="1"/>
    <xf numFmtId="44" fontId="0" fillId="0" borderId="0" xfId="0" applyNumberFormat="1"/>
    <xf numFmtId="0" fontId="0" fillId="0" borderId="0" xfId="0" applyAlignment="1">
      <alignment horizontal="left"/>
    </xf>
    <xf numFmtId="0" fontId="0" fillId="0" borderId="1" xfId="0" applyBorder="1" applyAlignment="1">
      <alignment horizontal="center"/>
    </xf>
    <xf numFmtId="0" fontId="0" fillId="0" borderId="1" xfId="0" applyBorder="1" applyAlignment="1">
      <alignment wrapText="1"/>
    </xf>
    <xf numFmtId="2" fontId="0" fillId="0" borderId="1" xfId="0" applyNumberFormat="1" applyBorder="1"/>
    <xf numFmtId="0" fontId="0" fillId="0" borderId="68" xfId="0" applyBorder="1" applyAlignment="1">
      <alignment horizontal="right"/>
    </xf>
    <xf numFmtId="164" fontId="0" fillId="0" borderId="0" xfId="0" applyNumberFormat="1"/>
    <xf numFmtId="1" fontId="0" fillId="0" borderId="1" xfId="0" applyNumberFormat="1" applyBorder="1"/>
    <xf numFmtId="0" fontId="4" fillId="2" borderId="0" xfId="3" applyFill="1" applyBorder="1" applyAlignment="1">
      <alignment horizontal="center" vertical="center"/>
    </xf>
    <xf numFmtId="38" fontId="0" fillId="4" borderId="28" xfId="0" applyNumberFormat="1" applyFill="1" applyBorder="1"/>
    <xf numFmtId="38" fontId="0" fillId="0" borderId="5" xfId="0" applyNumberFormat="1" applyBorder="1"/>
    <xf numFmtId="38" fontId="0" fillId="0" borderId="45" xfId="0" applyNumberFormat="1" applyBorder="1"/>
    <xf numFmtId="0" fontId="3" fillId="0" borderId="0" xfId="0" applyFont="1"/>
    <xf numFmtId="0" fontId="58" fillId="0" borderId="0" xfId="0" applyFont="1" applyAlignment="1">
      <alignment horizontal="right"/>
    </xf>
    <xf numFmtId="1" fontId="0" fillId="0" borderId="0" xfId="0" applyNumberFormat="1"/>
    <xf numFmtId="9" fontId="2" fillId="19" borderId="8" xfId="7" applyNumberFormat="1" applyFill="1" applyBorder="1" applyAlignment="1">
      <alignment horizontal="center"/>
    </xf>
    <xf numFmtId="40" fontId="19" fillId="2" borderId="0" xfId="0" applyNumberFormat="1" applyFont="1" applyFill="1" applyAlignment="1">
      <alignment horizontal="center" vertical="center"/>
    </xf>
    <xf numFmtId="40" fontId="19" fillId="12" borderId="38" xfId="0" applyNumberFormat="1" applyFont="1" applyFill="1" applyBorder="1" applyAlignment="1">
      <alignment horizontal="center" vertical="center"/>
    </xf>
    <xf numFmtId="44" fontId="0" fillId="0" borderId="70" xfId="0" applyNumberFormat="1" applyBorder="1"/>
    <xf numFmtId="0" fontId="0" fillId="0" borderId="48" xfId="0" applyBorder="1"/>
    <xf numFmtId="44" fontId="0" fillId="0" borderId="70" xfId="1" applyFont="1" applyBorder="1"/>
    <xf numFmtId="44" fontId="0" fillId="4" borderId="10" xfId="1" applyFont="1" applyFill="1" applyBorder="1"/>
    <xf numFmtId="44" fontId="0" fillId="0" borderId="6" xfId="1" applyFont="1" applyBorder="1"/>
    <xf numFmtId="44" fontId="0" fillId="0" borderId="9" xfId="1" applyFont="1" applyBorder="1"/>
    <xf numFmtId="0" fontId="2" fillId="0" borderId="0" xfId="7" applyFill="1" applyBorder="1" applyAlignment="1">
      <alignment horizontal="left" vertical="center"/>
    </xf>
    <xf numFmtId="44" fontId="0" fillId="0" borderId="4" xfId="0" applyNumberFormat="1" applyBorder="1"/>
    <xf numFmtId="44" fontId="2" fillId="24" borderId="8" xfId="1" applyFill="1" applyBorder="1" applyAlignment="1">
      <alignment horizontal="center"/>
    </xf>
    <xf numFmtId="44" fontId="2" fillId="24" borderId="17" xfId="1" applyFill="1" applyBorder="1" applyAlignment="1">
      <alignment horizontal="center"/>
    </xf>
    <xf numFmtId="0" fontId="4" fillId="2" borderId="0" xfId="3" applyFill="1" applyBorder="1" applyAlignment="1">
      <alignment horizontal="left" vertical="center"/>
    </xf>
    <xf numFmtId="2" fontId="0" fillId="0" borderId="69" xfId="0" applyNumberFormat="1" applyBorder="1"/>
    <xf numFmtId="0" fontId="2" fillId="19" borderId="0" xfId="2" applyNumberFormat="1" applyFill="1" applyBorder="1" applyAlignment="1">
      <alignment horizontal="center"/>
    </xf>
    <xf numFmtId="0" fontId="2" fillId="20" borderId="13" xfId="2" applyNumberFormat="1" applyFill="1" applyBorder="1" applyAlignment="1">
      <alignment horizontal="center"/>
    </xf>
    <xf numFmtId="168" fontId="2" fillId="19" borderId="13" xfId="2" applyNumberFormat="1" applyFill="1" applyBorder="1" applyAlignment="1">
      <alignment horizontal="center"/>
    </xf>
    <xf numFmtId="0" fontId="19" fillId="8" borderId="39" xfId="0" applyFont="1" applyFill="1" applyBorder="1" applyAlignment="1">
      <alignment horizontal="left" vertical="center"/>
    </xf>
    <xf numFmtId="0" fontId="19" fillId="8" borderId="40" xfId="0" applyFont="1" applyFill="1" applyBorder="1" applyAlignment="1">
      <alignment horizontal="left" vertical="center"/>
    </xf>
    <xf numFmtId="0" fontId="19" fillId="8" borderId="41" xfId="0" applyFont="1" applyFill="1" applyBorder="1" applyAlignment="1">
      <alignment horizontal="left" vertical="center"/>
    </xf>
    <xf numFmtId="0" fontId="19" fillId="17" borderId="2" xfId="0" applyFont="1" applyFill="1" applyBorder="1" applyAlignment="1">
      <alignment horizontal="center" vertical="center" wrapText="1"/>
    </xf>
    <xf numFmtId="0" fontId="19" fillId="17" borderId="8" xfId="0" applyFont="1" applyFill="1" applyBorder="1" applyAlignment="1">
      <alignment horizontal="center" vertical="center" wrapText="1"/>
    </xf>
    <xf numFmtId="0" fontId="0" fillId="2" borderId="18" xfId="0" applyFill="1" applyBorder="1" applyAlignment="1">
      <alignment horizontal="center"/>
    </xf>
    <xf numFmtId="0" fontId="0" fillId="2" borderId="17" xfId="0" applyFill="1" applyBorder="1" applyAlignment="1">
      <alignment horizontal="center"/>
    </xf>
    <xf numFmtId="0" fontId="0" fillId="2" borderId="20" xfId="0" applyFill="1" applyBorder="1" applyAlignment="1">
      <alignment horizontal="center"/>
    </xf>
    <xf numFmtId="0" fontId="0" fillId="2" borderId="0" xfId="0" applyFill="1" applyAlignment="1">
      <alignment horizontal="center"/>
    </xf>
    <xf numFmtId="0" fontId="0" fillId="2" borderId="25" xfId="0" applyFill="1" applyBorder="1" applyAlignment="1">
      <alignment horizontal="center"/>
    </xf>
    <xf numFmtId="0" fontId="0" fillId="2" borderId="19" xfId="0" applyFill="1" applyBorder="1" applyAlignment="1">
      <alignment horizontal="center"/>
    </xf>
    <xf numFmtId="0" fontId="0" fillId="2" borderId="27" xfId="0" applyFill="1"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50" xfId="0" applyBorder="1" applyAlignment="1">
      <alignment horizontal="center"/>
    </xf>
    <xf numFmtId="0" fontId="0" fillId="0" borderId="45" xfId="0" applyBorder="1" applyAlignment="1">
      <alignment horizontal="center"/>
    </xf>
    <xf numFmtId="0" fontId="22" fillId="21" borderId="12" xfId="0" applyFont="1" applyFill="1" applyBorder="1" applyAlignment="1">
      <alignment horizontal="center"/>
    </xf>
    <xf numFmtId="0" fontId="22" fillId="21" borderId="24" xfId="0" applyFont="1" applyFill="1" applyBorder="1" applyAlignment="1">
      <alignment horizontal="center"/>
    </xf>
    <xf numFmtId="0" fontId="22" fillId="21" borderId="5" xfId="0" applyFont="1" applyFill="1" applyBorder="1" applyAlignment="1">
      <alignment horizontal="center"/>
    </xf>
    <xf numFmtId="0" fontId="31" fillId="8" borderId="6" xfId="3" applyFont="1" applyFill="1" applyBorder="1" applyAlignment="1">
      <alignment horizontal="center" vertical="center" wrapText="1"/>
    </xf>
    <xf numFmtId="0" fontId="31" fillId="8" borderId="11" xfId="3" applyFont="1" applyFill="1" applyBorder="1" applyAlignment="1">
      <alignment horizontal="center" vertical="center" wrapText="1"/>
    </xf>
    <xf numFmtId="0" fontId="31" fillId="8" borderId="7" xfId="3" applyFont="1" applyFill="1" applyBorder="1" applyAlignment="1">
      <alignment horizontal="center" vertical="center" wrapText="1"/>
    </xf>
    <xf numFmtId="0" fontId="31" fillId="8" borderId="14" xfId="3" applyFont="1" applyFill="1" applyBorder="1" applyAlignment="1">
      <alignment horizontal="center" vertical="center" wrapText="1"/>
    </xf>
    <xf numFmtId="0" fontId="31" fillId="8" borderId="34" xfId="3" applyFont="1" applyFill="1" applyBorder="1" applyAlignment="1">
      <alignment horizontal="center" vertical="center" wrapText="1"/>
    </xf>
    <xf numFmtId="0" fontId="19" fillId="8" borderId="18" xfId="0" applyFont="1" applyFill="1" applyBorder="1" applyAlignment="1">
      <alignment horizontal="left"/>
    </xf>
    <xf numFmtId="0" fontId="19" fillId="8" borderId="17" xfId="0" applyFont="1" applyFill="1" applyBorder="1" applyAlignment="1">
      <alignment horizontal="left"/>
    </xf>
    <xf numFmtId="0" fontId="19" fillId="8" borderId="21" xfId="0" applyFont="1" applyFill="1" applyBorder="1" applyAlignment="1">
      <alignment horizontal="left"/>
    </xf>
    <xf numFmtId="0" fontId="26" fillId="2" borderId="20" xfId="0" applyFont="1" applyFill="1" applyBorder="1" applyAlignment="1">
      <alignment horizontal="left" wrapText="1"/>
    </xf>
    <xf numFmtId="0" fontId="26" fillId="2" borderId="0" xfId="0" applyFont="1" applyFill="1" applyAlignment="1">
      <alignment horizontal="left" wrapText="1"/>
    </xf>
    <xf numFmtId="0" fontId="26" fillId="2" borderId="22" xfId="0" applyFont="1" applyFill="1" applyBorder="1" applyAlignment="1">
      <alignment horizontal="left" wrapText="1"/>
    </xf>
    <xf numFmtId="0" fontId="46" fillId="0" borderId="14" xfId="3" applyFont="1" applyFill="1" applyBorder="1" applyAlignment="1">
      <alignment horizontal="center" vertical="center" wrapText="1"/>
    </xf>
    <xf numFmtId="0" fontId="46" fillId="0" borderId="34" xfId="3" applyFont="1" applyFill="1" applyBorder="1" applyAlignment="1">
      <alignment horizontal="center" vertical="center" wrapText="1"/>
    </xf>
    <xf numFmtId="0" fontId="7" fillId="2" borderId="0" xfId="0" applyFont="1" applyFill="1" applyAlignment="1">
      <alignment horizontal="center"/>
    </xf>
    <xf numFmtId="0" fontId="22" fillId="21" borderId="12" xfId="0" applyFont="1" applyFill="1" applyBorder="1" applyAlignment="1">
      <alignment horizontal="center" vertical="center"/>
    </xf>
    <xf numFmtId="0" fontId="22" fillId="21" borderId="24" xfId="0" applyFont="1" applyFill="1" applyBorder="1" applyAlignment="1">
      <alignment horizontal="center" vertical="center"/>
    </xf>
    <xf numFmtId="0" fontId="31" fillId="8" borderId="30" xfId="3" applyFont="1" applyFill="1" applyBorder="1" applyAlignment="1">
      <alignment horizontal="center" vertical="center" wrapText="1"/>
    </xf>
    <xf numFmtId="0" fontId="31" fillId="8" borderId="15" xfId="3" applyFont="1" applyFill="1" applyBorder="1" applyAlignment="1">
      <alignment horizontal="center" vertical="center" wrapText="1"/>
    </xf>
    <xf numFmtId="0" fontId="31" fillId="8" borderId="16" xfId="3" applyFont="1" applyFill="1" applyBorder="1" applyAlignment="1">
      <alignment horizontal="center" vertical="center" wrapText="1"/>
    </xf>
    <xf numFmtId="0" fontId="8" fillId="2" borderId="0" xfId="0" applyFont="1" applyFill="1" applyAlignment="1">
      <alignment horizontal="center" vertical="center"/>
    </xf>
    <xf numFmtId="0" fontId="31" fillId="8" borderId="43" xfId="3" applyFont="1" applyFill="1" applyBorder="1" applyAlignment="1">
      <alignment horizontal="center" vertical="center" wrapText="1"/>
    </xf>
    <xf numFmtId="0" fontId="31" fillId="8" borderId="44" xfId="3" applyFont="1" applyFill="1" applyBorder="1" applyAlignment="1">
      <alignment horizontal="center" vertical="center" wrapText="1"/>
    </xf>
    <xf numFmtId="0" fontId="42" fillId="0" borderId="14" xfId="3" applyFont="1" applyFill="1" applyBorder="1" applyAlignment="1">
      <alignment horizontal="center" vertical="center" wrapText="1"/>
    </xf>
    <xf numFmtId="0" fontId="42" fillId="0" borderId="34" xfId="3" applyFont="1" applyFill="1" applyBorder="1" applyAlignment="1">
      <alignment horizontal="center" vertical="center" wrapText="1"/>
    </xf>
    <xf numFmtId="0" fontId="8" fillId="0" borderId="1" xfId="0" applyFont="1" applyBorder="1" applyAlignment="1">
      <alignment horizontal="center" vertical="center"/>
    </xf>
    <xf numFmtId="0" fontId="8" fillId="2" borderId="0" xfId="0" applyFont="1" applyFill="1" applyAlignment="1">
      <alignment horizontal="center"/>
    </xf>
    <xf numFmtId="0" fontId="22" fillId="21" borderId="15" xfId="0" applyFont="1" applyFill="1" applyBorder="1" applyAlignment="1">
      <alignment horizontal="center" vertical="center"/>
    </xf>
    <xf numFmtId="0" fontId="22" fillId="21" borderId="0" xfId="0" applyFont="1" applyFill="1" applyAlignment="1">
      <alignment horizontal="center" vertical="center"/>
    </xf>
    <xf numFmtId="0" fontId="31" fillId="8" borderId="0" xfId="3" applyFont="1" applyFill="1" applyBorder="1" applyAlignment="1">
      <alignment horizontal="center" vertical="center" wrapText="1"/>
    </xf>
    <xf numFmtId="0" fontId="19" fillId="12" borderId="17" xfId="7" applyFont="1" applyFill="1" applyBorder="1" applyAlignment="1">
      <alignment horizontal="center"/>
    </xf>
    <xf numFmtId="0" fontId="19" fillId="13" borderId="17" xfId="7" applyFont="1" applyFill="1" applyBorder="1" applyAlignment="1">
      <alignment horizontal="center"/>
    </xf>
    <xf numFmtId="0" fontId="31" fillId="8" borderId="0" xfId="7" applyFont="1" applyFill="1" applyBorder="1" applyAlignment="1">
      <alignment horizontal="center" vertical="center" wrapText="1"/>
    </xf>
    <xf numFmtId="0" fontId="46" fillId="2" borderId="1" xfId="7" applyFont="1" applyFill="1" applyBorder="1" applyAlignment="1">
      <alignment horizontal="center" vertical="center" wrapText="1"/>
    </xf>
    <xf numFmtId="0" fontId="0" fillId="2" borderId="26" xfId="0" applyFill="1" applyBorder="1" applyAlignment="1">
      <alignment horizontal="center"/>
    </xf>
    <xf numFmtId="0" fontId="0" fillId="2" borderId="13" xfId="0" applyFill="1" applyBorder="1" applyAlignment="1">
      <alignment horizontal="center"/>
    </xf>
    <xf numFmtId="44" fontId="0" fillId="2" borderId="13" xfId="1" applyFont="1" applyFill="1" applyBorder="1" applyAlignment="1">
      <alignment horizontal="center"/>
    </xf>
    <xf numFmtId="0" fontId="31" fillId="8" borderId="1" xfId="3" applyFont="1" applyFill="1" applyBorder="1" applyAlignment="1">
      <alignment horizontal="center" vertical="center" wrapText="1"/>
    </xf>
    <xf numFmtId="0" fontId="0" fillId="2" borderId="13" xfId="0" applyFill="1" applyBorder="1" applyAlignment="1">
      <alignment horizontal="center" vertical="center"/>
    </xf>
    <xf numFmtId="0" fontId="0" fillId="21" borderId="12" xfId="0" applyFill="1" applyBorder="1" applyAlignment="1">
      <alignment horizontal="center"/>
    </xf>
    <xf numFmtId="0" fontId="0" fillId="21" borderId="24" xfId="0" applyFill="1" applyBorder="1" applyAlignment="1">
      <alignment horizontal="center"/>
    </xf>
    <xf numFmtId="0" fontId="0" fillId="21" borderId="60" xfId="0" applyFill="1" applyBorder="1" applyAlignment="1">
      <alignment horizontal="center"/>
    </xf>
    <xf numFmtId="0" fontId="0" fillId="21" borderId="5" xfId="0" applyFill="1" applyBorder="1" applyAlignment="1">
      <alignment horizontal="center"/>
    </xf>
    <xf numFmtId="0" fontId="42" fillId="2" borderId="1" xfId="3" applyFont="1" applyFill="1" applyBorder="1" applyAlignment="1">
      <alignment horizontal="center" vertical="center" wrapText="1"/>
    </xf>
    <xf numFmtId="0" fontId="20" fillId="7" borderId="6" xfId="3" applyFont="1" applyFill="1" applyBorder="1" applyAlignment="1">
      <alignment horizontal="center" vertical="center" wrapText="1"/>
    </xf>
    <xf numFmtId="0" fontId="20" fillId="7" borderId="7" xfId="3" applyFont="1" applyFill="1" applyBorder="1" applyAlignment="1">
      <alignment horizontal="center" vertical="center" wrapText="1"/>
    </xf>
    <xf numFmtId="0" fontId="18" fillId="2" borderId="0" xfId="3" applyFont="1" applyFill="1" applyBorder="1" applyAlignment="1">
      <alignment horizontal="center" vertical="center"/>
    </xf>
    <xf numFmtId="0" fontId="19" fillId="8" borderId="43" xfId="3" applyFont="1" applyFill="1" applyBorder="1" applyAlignment="1">
      <alignment horizontal="center" vertical="center" wrapText="1"/>
    </xf>
    <xf numFmtId="0" fontId="19" fillId="8" borderId="44" xfId="3" applyFont="1" applyFill="1" applyBorder="1" applyAlignment="1">
      <alignment horizontal="center" vertical="center" wrapText="1"/>
    </xf>
    <xf numFmtId="0" fontId="19" fillId="8" borderId="14" xfId="3" applyFont="1" applyFill="1" applyBorder="1" applyAlignment="1">
      <alignment horizontal="center" vertical="center" wrapText="1"/>
    </xf>
    <xf numFmtId="0" fontId="19" fillId="8" borderId="34" xfId="3" applyFont="1" applyFill="1" applyBorder="1" applyAlignment="1">
      <alignment horizontal="center" vertical="center" wrapText="1"/>
    </xf>
    <xf numFmtId="0" fontId="19" fillId="8" borderId="1" xfId="3" applyFont="1" applyFill="1" applyBorder="1" applyAlignment="1">
      <alignment horizontal="center" vertical="center" wrapText="1"/>
    </xf>
    <xf numFmtId="0" fontId="30" fillId="2" borderId="1" xfId="3" applyFont="1" applyFill="1" applyBorder="1" applyAlignment="1">
      <alignment horizontal="center" vertical="center" wrapText="1"/>
    </xf>
    <xf numFmtId="0" fontId="46" fillId="2" borderId="1" xfId="3" applyFont="1" applyFill="1" applyBorder="1" applyAlignment="1">
      <alignment horizontal="center" vertical="center" wrapText="1"/>
    </xf>
    <xf numFmtId="0" fontId="8" fillId="15" borderId="39" xfId="0" applyFont="1" applyFill="1" applyBorder="1" applyAlignment="1">
      <alignment horizontal="center"/>
    </xf>
    <xf numFmtId="0" fontId="8" fillId="15" borderId="40" xfId="0" applyFont="1" applyFill="1" applyBorder="1" applyAlignment="1">
      <alignment horizontal="center"/>
    </xf>
    <xf numFmtId="0" fontId="8" fillId="15" borderId="41" xfId="0" applyFont="1" applyFill="1" applyBorder="1" applyAlignment="1">
      <alignment horizontal="center"/>
    </xf>
    <xf numFmtId="0" fontId="8" fillId="15" borderId="56" xfId="0" applyFont="1" applyFill="1" applyBorder="1" applyAlignment="1">
      <alignment horizontal="center"/>
    </xf>
    <xf numFmtId="0" fontId="8" fillId="15" borderId="24" xfId="0" applyFont="1" applyFill="1" applyBorder="1" applyAlignment="1">
      <alignment horizontal="center"/>
    </xf>
    <xf numFmtId="0" fontId="6" fillId="2" borderId="0" xfId="0" applyFont="1" applyFill="1" applyAlignment="1">
      <alignment horizontal="center"/>
    </xf>
    <xf numFmtId="0" fontId="15" fillId="0" borderId="18" xfId="0" applyFont="1" applyBorder="1" applyAlignment="1">
      <alignment horizontal="left" vertical="center"/>
    </xf>
    <xf numFmtId="0" fontId="15" fillId="0" borderId="17" xfId="0" applyFont="1" applyBorder="1" applyAlignment="1">
      <alignment horizontal="left" vertical="center"/>
    </xf>
    <xf numFmtId="0" fontId="15" fillId="0" borderId="19" xfId="0" applyFont="1" applyBorder="1" applyAlignment="1">
      <alignment horizontal="left" vertical="center"/>
    </xf>
    <xf numFmtId="0" fontId="15" fillId="0" borderId="13" xfId="0" applyFont="1" applyBorder="1" applyAlignment="1">
      <alignment horizontal="left" vertical="center"/>
    </xf>
    <xf numFmtId="0" fontId="3" fillId="0" borderId="17" xfId="0" applyFont="1" applyBorder="1" applyAlignment="1">
      <alignment horizontal="center" vertical="center" wrapText="1"/>
    </xf>
    <xf numFmtId="0" fontId="3" fillId="0" borderId="13" xfId="0" applyFont="1" applyBorder="1" applyAlignment="1">
      <alignment horizontal="center" vertical="center"/>
    </xf>
    <xf numFmtId="0" fontId="19" fillId="18" borderId="17" xfId="0" applyFont="1" applyFill="1" applyBorder="1" applyAlignment="1">
      <alignment horizontal="center" vertical="center"/>
    </xf>
    <xf numFmtId="0" fontId="19" fillId="18" borderId="13" xfId="0" applyFont="1" applyFill="1" applyBorder="1" applyAlignment="1">
      <alignment horizontal="center" vertical="center"/>
    </xf>
    <xf numFmtId="0" fontId="31" fillId="8" borderId="4" xfId="3" applyFont="1" applyFill="1" applyBorder="1" applyAlignment="1">
      <alignment horizontal="center" vertical="center" wrapText="1"/>
    </xf>
    <xf numFmtId="0" fontId="46" fillId="2" borderId="14" xfId="3" applyFont="1" applyFill="1" applyBorder="1" applyAlignment="1">
      <alignment horizontal="center" vertical="center" wrapText="1"/>
    </xf>
    <xf numFmtId="0" fontId="46" fillId="2" borderId="33" xfId="3" applyFont="1" applyFill="1" applyBorder="1" applyAlignment="1">
      <alignment horizontal="center" vertical="center" wrapText="1"/>
    </xf>
    <xf numFmtId="0" fontId="46" fillId="2" borderId="34" xfId="3" applyFont="1" applyFill="1" applyBorder="1" applyAlignment="1">
      <alignment horizontal="center" vertical="center" wrapText="1"/>
    </xf>
    <xf numFmtId="0" fontId="31" fillId="8" borderId="33" xfId="3" applyFont="1" applyFill="1" applyBorder="1" applyAlignment="1">
      <alignment horizontal="center" vertical="center" wrapText="1"/>
    </xf>
    <xf numFmtId="0" fontId="48" fillId="22" borderId="0" xfId="0" applyFont="1" applyFill="1" applyAlignment="1">
      <alignment horizontal="left" vertical="center"/>
    </xf>
  </cellXfs>
  <cellStyles count="8">
    <cellStyle name="20% - Accent1" xfId="7" builtinId="30"/>
    <cellStyle name="Currency" xfId="1" builtinId="4"/>
    <cellStyle name="Hyperlink" xfId="3" builtinId="8"/>
    <cellStyle name="Hyperlink 2" xfId="4" xr:uid="{96612B28-34F2-2F44-9A6F-CC6C1D4F68E9}"/>
    <cellStyle name="Normal" xfId="0" builtinId="0"/>
    <cellStyle name="Normal 3 2" xfId="6" xr:uid="{97F127CA-68E5-6D44-8EC5-A3F08927DD6E}"/>
    <cellStyle name="Normal 6" xfId="5" xr:uid="{6309F538-99DE-9749-8391-B5EE0A968605}"/>
    <cellStyle name="Percent" xfId="2" builtinId="5"/>
  </cellStyles>
  <dxfs count="1">
    <dxf>
      <fill>
        <patternFill>
          <bgColor theme="1" tint="0.89996032593768116"/>
        </patternFill>
      </fill>
    </dxf>
  </dxfs>
  <tableStyles count="0" defaultTableStyle="TableStyleMedium2" defaultPivotStyle="PivotStyleLight16"/>
  <colors>
    <mruColors>
      <color rgb="FF0EBBC6"/>
      <color rgb="FF90A6C6"/>
      <color rgb="FFCAE8F3"/>
      <color rgb="FF8AD5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683544303797474E-2"/>
          <c:y val="1.5890567193192894E-2"/>
          <c:w val="0.88708860759493668"/>
          <c:h val="0.97690643601765259"/>
        </c:manualLayout>
      </c:layout>
      <c:barChart>
        <c:barDir val="bar"/>
        <c:grouping val="clustered"/>
        <c:varyColors val="0"/>
        <c:ser>
          <c:idx val="0"/>
          <c:order val="0"/>
          <c:tx>
            <c:strRef>
              <c:f>OWSA!$K$6</c:f>
              <c:strCache>
                <c:ptCount val="1"/>
                <c:pt idx="0">
                  <c:v>High Input Value Result</c:v>
                </c:pt>
              </c:strCache>
            </c:strRef>
          </c:tx>
          <c:spPr>
            <a:solidFill>
              <a:schemeClr val="accent1">
                <a:lumMod val="60000"/>
                <a:lumOff val="40000"/>
              </a:schemeClr>
            </a:solidFill>
            <a:ln>
              <a:noFill/>
            </a:ln>
            <a:effectLst/>
          </c:spPr>
          <c:invertIfNegative val="0"/>
          <c:val>
            <c:numRef>
              <c:f>OWSA!$K$7:$K$154</c:f>
              <c:numCache>
                <c:formatCode>General</c:formatCode>
                <c:ptCount val="148"/>
                <c:pt idx="0">
                  <c:v>23201132.867110759</c:v>
                </c:pt>
                <c:pt idx="1">
                  <c:v>18227588.20781517</c:v>
                </c:pt>
                <c:pt idx="2">
                  <c:v>18531381.344612088</c:v>
                </c:pt>
                <c:pt idx="3">
                  <c:v>9762096.0324487984</c:v>
                </c:pt>
                <c:pt idx="4">
                  <c:v>19394290.801642872</c:v>
                </c:pt>
                <c:pt idx="5">
                  <c:v>16176984.53443595</c:v>
                </c:pt>
                <c:pt idx="6">
                  <c:v>16176984.534435946</c:v>
                </c:pt>
                <c:pt idx="7">
                  <c:v>16252932.818635192</c:v>
                </c:pt>
                <c:pt idx="8">
                  <c:v>16252932.818635192</c:v>
                </c:pt>
                <c:pt idx="9">
                  <c:v>16782020.056642875</c:v>
                </c:pt>
                <c:pt idx="10">
                  <c:v>15949139.681838281</c:v>
                </c:pt>
                <c:pt idx="11">
                  <c:v>15949139.681838281</c:v>
                </c:pt>
                <c:pt idx="12">
                  <c:v>15949139.681838281</c:v>
                </c:pt>
                <c:pt idx="13">
                  <c:v>16550348.476642877</c:v>
                </c:pt>
                <c:pt idx="14">
                  <c:v>15999771.8713044</c:v>
                </c:pt>
                <c:pt idx="15">
                  <c:v>15999771.8713044</c:v>
                </c:pt>
                <c:pt idx="16">
                  <c:v>15999771.8713044</c:v>
                </c:pt>
                <c:pt idx="17">
                  <c:v>14527022.416642874</c:v>
                </c:pt>
                <c:pt idx="18">
                  <c:v>14700776.101642877</c:v>
                </c:pt>
                <c:pt idx="19">
                  <c:v>16320632.971042879</c:v>
                </c:pt>
                <c:pt idx="20">
                  <c:v>15521500.516642876</c:v>
                </c:pt>
                <c:pt idx="21">
                  <c:v>15547948.168642879</c:v>
                </c:pt>
                <c:pt idx="22">
                  <c:v>15487865.446642876</c:v>
                </c:pt>
                <c:pt idx="23">
                  <c:v>15482600.032642879</c:v>
                </c:pt>
                <c:pt idx="24">
                  <c:v>0</c:v>
                </c:pt>
                <c:pt idx="25">
                  <c:v>0</c:v>
                </c:pt>
                <c:pt idx="26">
                  <c:v>7746724.9883214682</c:v>
                </c:pt>
                <c:pt idx="27">
                  <c:v>7746724.9883214682</c:v>
                </c:pt>
                <c:pt idx="28">
                  <c:v>15493449.976642877</c:v>
                </c:pt>
                <c:pt idx="29">
                  <c:v>11620087.482482113</c:v>
                </c:pt>
                <c:pt idx="30">
                  <c:v>11620087.482482113</c:v>
                </c:pt>
                <c:pt idx="31">
                  <c:v>12911208.313869074</c:v>
                </c:pt>
                <c:pt idx="32">
                  <c:v>12911208.313869074</c:v>
                </c:pt>
                <c:pt idx="33">
                  <c:v>12911208.313869074</c:v>
                </c:pt>
                <c:pt idx="34">
                  <c:v>15493449.976642877</c:v>
                </c:pt>
                <c:pt idx="35">
                  <c:v>15493449.976642877</c:v>
                </c:pt>
                <c:pt idx="36">
                  <c:v>15493449.976642877</c:v>
                </c:pt>
                <c:pt idx="37">
                  <c:v>15493449.976642877</c:v>
                </c:pt>
                <c:pt idx="38">
                  <c:v>15493449.976642877</c:v>
                </c:pt>
                <c:pt idx="39">
                  <c:v>15493449.976642877</c:v>
                </c:pt>
                <c:pt idx="40">
                  <c:v>15493449.976642877</c:v>
                </c:pt>
                <c:pt idx="41">
                  <c:v>15493449.976642877</c:v>
                </c:pt>
                <c:pt idx="42">
                  <c:v>15493449.976642877</c:v>
                </c:pt>
                <c:pt idx="43">
                  <c:v>15493449.976642877</c:v>
                </c:pt>
                <c:pt idx="44">
                  <c:v>15493449.976642877</c:v>
                </c:pt>
                <c:pt idx="45">
                  <c:v>15493449.976642877</c:v>
                </c:pt>
                <c:pt idx="46">
                  <c:v>15493449.976642877</c:v>
                </c:pt>
                <c:pt idx="47">
                  <c:v>15493449.976642877</c:v>
                </c:pt>
                <c:pt idx="48">
                  <c:v>15493449.976642877</c:v>
                </c:pt>
                <c:pt idx="49">
                  <c:v>15493449.976642877</c:v>
                </c:pt>
                <c:pt idx="50">
                  <c:v>15493449.976642877</c:v>
                </c:pt>
                <c:pt idx="51">
                  <c:v>15493449.976642877</c:v>
                </c:pt>
                <c:pt idx="52">
                  <c:v>15493449.976642877</c:v>
                </c:pt>
                <c:pt idx="53">
                  <c:v>15493449.976642877</c:v>
                </c:pt>
                <c:pt idx="54">
                  <c:v>15493449.976642877</c:v>
                </c:pt>
                <c:pt idx="55">
                  <c:v>15493449.976642877</c:v>
                </c:pt>
                <c:pt idx="56">
                  <c:v>15493449.976642877</c:v>
                </c:pt>
                <c:pt idx="57">
                  <c:v>15493449.976642877</c:v>
                </c:pt>
                <c:pt idx="58">
                  <c:v>15493449.976642877</c:v>
                </c:pt>
                <c:pt idx="59">
                  <c:v>15493449.976642877</c:v>
                </c:pt>
                <c:pt idx="60">
                  <c:v>15493449.976642877</c:v>
                </c:pt>
                <c:pt idx="61">
                  <c:v>15493449.976642877</c:v>
                </c:pt>
                <c:pt idx="62">
                  <c:v>15493449.976642877</c:v>
                </c:pt>
                <c:pt idx="63">
                  <c:v>15493449.976642877</c:v>
                </c:pt>
                <c:pt idx="64">
                  <c:v>15493449.976642877</c:v>
                </c:pt>
                <c:pt idx="65">
                  <c:v>15493449.976642877</c:v>
                </c:pt>
                <c:pt idx="66">
                  <c:v>15493449.976642877</c:v>
                </c:pt>
                <c:pt idx="67">
                  <c:v>13614273.376642879</c:v>
                </c:pt>
                <c:pt idx="68">
                  <c:v>15493449.976642877</c:v>
                </c:pt>
                <c:pt idx="69">
                  <c:v>15493449.976642877</c:v>
                </c:pt>
                <c:pt idx="70">
                  <c:v>15493449.976642877</c:v>
                </c:pt>
                <c:pt idx="71">
                  <c:v>15493449.976642877</c:v>
                </c:pt>
                <c:pt idx="72">
                  <c:v>15493449.976642877</c:v>
                </c:pt>
                <c:pt idx="73">
                  <c:v>15493449.976642877</c:v>
                </c:pt>
                <c:pt idx="74">
                  <c:v>15493449.976642877</c:v>
                </c:pt>
                <c:pt idx="75">
                  <c:v>15493449.976642877</c:v>
                </c:pt>
                <c:pt idx="76">
                  <c:v>15493449.976642877</c:v>
                </c:pt>
                <c:pt idx="77">
                  <c:v>15493449.976642877</c:v>
                </c:pt>
                <c:pt idx="78">
                  <c:v>15493449.976642877</c:v>
                </c:pt>
                <c:pt idx="79">
                  <c:v>15493449.976642877</c:v>
                </c:pt>
                <c:pt idx="80">
                  <c:v>15493449.976642877</c:v>
                </c:pt>
                <c:pt idx="81">
                  <c:v>15493449.976642877</c:v>
                </c:pt>
                <c:pt idx="82">
                  <c:v>15493449.976642877</c:v>
                </c:pt>
                <c:pt idx="83">
                  <c:v>15493449.976642877</c:v>
                </c:pt>
                <c:pt idx="84">
                  <c:v>15493449.976642877</c:v>
                </c:pt>
                <c:pt idx="85">
                  <c:v>15493449.976642877</c:v>
                </c:pt>
                <c:pt idx="86">
                  <c:v>15493449.976642877</c:v>
                </c:pt>
                <c:pt idx="87">
                  <c:v>15493449.976642877</c:v>
                </c:pt>
                <c:pt idx="88">
                  <c:v>34336803.588950306</c:v>
                </c:pt>
                <c:pt idx="89">
                  <c:v>15493449.976642877</c:v>
                </c:pt>
                <c:pt idx="90">
                  <c:v>15493449.976642877</c:v>
                </c:pt>
                <c:pt idx="91">
                  <c:v>15493449.976642877</c:v>
                </c:pt>
                <c:pt idx="92">
                  <c:v>34336803.588950306</c:v>
                </c:pt>
                <c:pt idx="93">
                  <c:v>15493449.976642877</c:v>
                </c:pt>
                <c:pt idx="94">
                  <c:v>15493449.976642877</c:v>
                </c:pt>
                <c:pt idx="95">
                  <c:v>15493449.976642877</c:v>
                </c:pt>
                <c:pt idx="96">
                  <c:v>28055685.718181163</c:v>
                </c:pt>
                <c:pt idx="97">
                  <c:v>15493449.976642877</c:v>
                </c:pt>
                <c:pt idx="98">
                  <c:v>15493449.976642877</c:v>
                </c:pt>
                <c:pt idx="99">
                  <c:v>15493449.976642877</c:v>
                </c:pt>
                <c:pt idx="100">
                  <c:v>28055685.718181163</c:v>
                </c:pt>
                <c:pt idx="101">
                  <c:v>15493449.976642877</c:v>
                </c:pt>
                <c:pt idx="102">
                  <c:v>15493449.976642877</c:v>
                </c:pt>
                <c:pt idx="103">
                  <c:v>15493449.976642877</c:v>
                </c:pt>
                <c:pt idx="104">
                  <c:v>28055685.718181163</c:v>
                </c:pt>
                <c:pt idx="105">
                  <c:v>15493449.976642877</c:v>
                </c:pt>
                <c:pt idx="106">
                  <c:v>15493449.976642877</c:v>
                </c:pt>
                <c:pt idx="107">
                  <c:v>15493449.976642877</c:v>
                </c:pt>
                <c:pt idx="108">
                  <c:v>15493449.976642877</c:v>
                </c:pt>
                <c:pt idx="109">
                  <c:v>15493449.976642877</c:v>
                </c:pt>
                <c:pt idx="110">
                  <c:v>15493449.976642877</c:v>
                </c:pt>
                <c:pt idx="111">
                  <c:v>15493449.976642877</c:v>
                </c:pt>
                <c:pt idx="112">
                  <c:v>15493449.976642877</c:v>
                </c:pt>
                <c:pt idx="113">
                  <c:v>15493449.976642877</c:v>
                </c:pt>
                <c:pt idx="114">
                  <c:v>15493449.976642877</c:v>
                </c:pt>
                <c:pt idx="115">
                  <c:v>15493449.976642877</c:v>
                </c:pt>
                <c:pt idx="116">
                  <c:v>15493449.976642877</c:v>
                </c:pt>
                <c:pt idx="117">
                  <c:v>15493449.976642877</c:v>
                </c:pt>
                <c:pt idx="118">
                  <c:v>15493449.976642877</c:v>
                </c:pt>
                <c:pt idx="119">
                  <c:v>14777055.39914288</c:v>
                </c:pt>
                <c:pt idx="120">
                  <c:v>15493449.976642877</c:v>
                </c:pt>
                <c:pt idx="121">
                  <c:v>15493449.976642877</c:v>
                </c:pt>
                <c:pt idx="122">
                  <c:v>15493449.976642877</c:v>
                </c:pt>
                <c:pt idx="123">
                  <c:v>14777055.39914288</c:v>
                </c:pt>
                <c:pt idx="124">
                  <c:v>15493449.976642877</c:v>
                </c:pt>
                <c:pt idx="125">
                  <c:v>14553861.67664288</c:v>
                </c:pt>
                <c:pt idx="126">
                  <c:v>15493449.976642877</c:v>
                </c:pt>
                <c:pt idx="127">
                  <c:v>15493449.976642877</c:v>
                </c:pt>
                <c:pt idx="128">
                  <c:v>15493449.976642877</c:v>
                </c:pt>
                <c:pt idx="129">
                  <c:v>14553861.67664288</c:v>
                </c:pt>
                <c:pt idx="130">
                  <c:v>15493449.976642877</c:v>
                </c:pt>
                <c:pt idx="131">
                  <c:v>15493449.976642877</c:v>
                </c:pt>
                <c:pt idx="132">
                  <c:v>15493449.976642877</c:v>
                </c:pt>
                <c:pt idx="133">
                  <c:v>15493449.976642877</c:v>
                </c:pt>
                <c:pt idx="134">
                  <c:v>15493449.976642877</c:v>
                </c:pt>
                <c:pt idx="135">
                  <c:v>15493449.976642877</c:v>
                </c:pt>
                <c:pt idx="136">
                  <c:v>15493449.976642877</c:v>
                </c:pt>
                <c:pt idx="137">
                  <c:v>15493449.976642877</c:v>
                </c:pt>
                <c:pt idx="138">
                  <c:v>15493449.976642877</c:v>
                </c:pt>
                <c:pt idx="139">
                  <c:v>15493449.976642877</c:v>
                </c:pt>
                <c:pt idx="140">
                  <c:v>15493449.976642877</c:v>
                </c:pt>
                <c:pt idx="141">
                  <c:v>15493449.976642877</c:v>
                </c:pt>
                <c:pt idx="142">
                  <c:v>15493449.976642877</c:v>
                </c:pt>
                <c:pt idx="143">
                  <c:v>15493449.976642877</c:v>
                </c:pt>
                <c:pt idx="144">
                  <c:v>15493449.976642877</c:v>
                </c:pt>
                <c:pt idx="145">
                  <c:v>15493449.976642877</c:v>
                </c:pt>
                <c:pt idx="146">
                  <c:v>15493449.976642877</c:v>
                </c:pt>
                <c:pt idx="147">
                  <c:v>15493449.976642877</c:v>
                </c:pt>
              </c:numCache>
            </c:numRef>
          </c:val>
          <c:extLst>
            <c:ext xmlns:c16="http://schemas.microsoft.com/office/drawing/2014/chart" uri="{C3380CC4-5D6E-409C-BE32-E72D297353CC}">
              <c16:uniqueId val="{00000000-8543-D845-B1A3-CBD6815EC49D}"/>
            </c:ext>
          </c:extLst>
        </c:ser>
        <c:ser>
          <c:idx val="1"/>
          <c:order val="1"/>
          <c:tx>
            <c:strRef>
              <c:f>OWSA!$J$6</c:f>
              <c:strCache>
                <c:ptCount val="1"/>
                <c:pt idx="0">
                  <c:v>Low Input Value Result</c:v>
                </c:pt>
              </c:strCache>
            </c:strRef>
          </c:tx>
          <c:spPr>
            <a:solidFill>
              <a:schemeClr val="accent4">
                <a:lumMod val="60000"/>
                <a:lumOff val="40000"/>
              </a:schemeClr>
            </a:solidFill>
            <a:ln>
              <a:noFill/>
            </a:ln>
            <a:effectLst/>
          </c:spPr>
          <c:invertIfNegative val="0"/>
          <c:dPt>
            <c:idx val="36"/>
            <c:invertIfNegative val="0"/>
            <c:bubble3D val="0"/>
            <c:extLst>
              <c:ext xmlns:c16="http://schemas.microsoft.com/office/drawing/2014/chart" uri="{C3380CC4-5D6E-409C-BE32-E72D297353CC}">
                <c16:uniqueId val="{00000000-C095-47C9-AEE4-353C844F46F1}"/>
              </c:ext>
            </c:extLst>
          </c:dPt>
          <c:val>
            <c:numRef>
              <c:f>OWSA!$J$7:$J$154</c:f>
              <c:numCache>
                <c:formatCode>General</c:formatCode>
                <c:ptCount val="148"/>
                <c:pt idx="0">
                  <c:v>9959728.9270761907</c:v>
                </c:pt>
                <c:pt idx="1">
                  <c:v>6075862.7359384075</c:v>
                </c:pt>
                <c:pt idx="2">
                  <c:v>9417587.2407044694</c:v>
                </c:pt>
                <c:pt idx="3">
                  <c:v>18260310.50142625</c:v>
                </c:pt>
                <c:pt idx="4">
                  <c:v>14587616.026642878</c:v>
                </c:pt>
                <c:pt idx="5">
                  <c:v>13139053.166466743</c:v>
                </c:pt>
                <c:pt idx="6">
                  <c:v>13139053.166466743</c:v>
                </c:pt>
                <c:pt idx="7">
                  <c:v>13974484.292658307</c:v>
                </c:pt>
                <c:pt idx="8">
                  <c:v>13974484.292658307</c:v>
                </c:pt>
                <c:pt idx="9">
                  <c:v>14591450.920642879</c:v>
                </c:pt>
                <c:pt idx="10">
                  <c:v>13923852.103192121</c:v>
                </c:pt>
                <c:pt idx="11">
                  <c:v>13923852.103192125</c:v>
                </c:pt>
                <c:pt idx="12">
                  <c:v>13923852.103192125</c:v>
                </c:pt>
                <c:pt idx="13">
                  <c:v>14753621.026642881</c:v>
                </c:pt>
                <c:pt idx="14">
                  <c:v>14480806.187319826</c:v>
                </c:pt>
                <c:pt idx="15">
                  <c:v>14480806.187319826</c:v>
                </c:pt>
                <c:pt idx="16">
                  <c:v>14480806.187319826</c:v>
                </c:pt>
                <c:pt idx="17">
                  <c:v>15944449.504642878</c:v>
                </c:pt>
                <c:pt idx="18">
                  <c:v>15863364.451642878</c:v>
                </c:pt>
                <c:pt idx="19">
                  <c:v>15206752.701442879</c:v>
                </c:pt>
                <c:pt idx="20">
                  <c:v>15401283.916642878</c:v>
                </c:pt>
                <c:pt idx="21">
                  <c:v>15443760.448642876</c:v>
                </c:pt>
                <c:pt idx="22">
                  <c:v>15511799.146642879</c:v>
                </c:pt>
                <c:pt idx="23">
                  <c:v>15503342.572642878</c:v>
                </c:pt>
                <c:pt idx="24">
                  <c:v>0</c:v>
                </c:pt>
                <c:pt idx="25">
                  <c:v>0</c:v>
                </c:pt>
                <c:pt idx="26">
                  <c:v>7746724.9883214682</c:v>
                </c:pt>
                <c:pt idx="27">
                  <c:v>7746724.9883214682</c:v>
                </c:pt>
                <c:pt idx="28">
                  <c:v>15493449.976642877</c:v>
                </c:pt>
                <c:pt idx="29">
                  <c:v>11620087.482482113</c:v>
                </c:pt>
                <c:pt idx="30">
                  <c:v>11620087.482482113</c:v>
                </c:pt>
                <c:pt idx="31">
                  <c:v>12911208.313869074</c:v>
                </c:pt>
                <c:pt idx="32">
                  <c:v>12911208.313869074</c:v>
                </c:pt>
                <c:pt idx="33">
                  <c:v>12911208.313869074</c:v>
                </c:pt>
                <c:pt idx="34">
                  <c:v>15493449.976642877</c:v>
                </c:pt>
                <c:pt idx="35">
                  <c:v>15493449.976642877</c:v>
                </c:pt>
                <c:pt idx="36">
                  <c:v>15493449.976642877</c:v>
                </c:pt>
                <c:pt idx="37">
                  <c:v>15493449.976642877</c:v>
                </c:pt>
                <c:pt idx="38">
                  <c:v>15493449.976642877</c:v>
                </c:pt>
                <c:pt idx="39">
                  <c:v>15493449.976642877</c:v>
                </c:pt>
                <c:pt idx="40">
                  <c:v>15493449.976642877</c:v>
                </c:pt>
                <c:pt idx="41">
                  <c:v>15493449.976642877</c:v>
                </c:pt>
                <c:pt idx="42">
                  <c:v>15493449.976642877</c:v>
                </c:pt>
                <c:pt idx="43">
                  <c:v>15493449.976642877</c:v>
                </c:pt>
                <c:pt idx="44">
                  <c:v>15493449.976642877</c:v>
                </c:pt>
                <c:pt idx="45">
                  <c:v>15493449.976642877</c:v>
                </c:pt>
                <c:pt idx="46">
                  <c:v>15493449.976642877</c:v>
                </c:pt>
                <c:pt idx="47">
                  <c:v>15493449.976642877</c:v>
                </c:pt>
                <c:pt idx="48">
                  <c:v>15493449.976642877</c:v>
                </c:pt>
                <c:pt idx="49">
                  <c:v>15493449.976642877</c:v>
                </c:pt>
                <c:pt idx="50">
                  <c:v>15493449.976642877</c:v>
                </c:pt>
                <c:pt idx="51">
                  <c:v>15493449.976642877</c:v>
                </c:pt>
                <c:pt idx="52">
                  <c:v>15493449.976642877</c:v>
                </c:pt>
                <c:pt idx="53">
                  <c:v>15493449.976642877</c:v>
                </c:pt>
                <c:pt idx="54">
                  <c:v>15493449.976642877</c:v>
                </c:pt>
                <c:pt idx="55">
                  <c:v>15493449.976642877</c:v>
                </c:pt>
                <c:pt idx="56">
                  <c:v>15493449.976642877</c:v>
                </c:pt>
                <c:pt idx="57">
                  <c:v>15493449.976642877</c:v>
                </c:pt>
                <c:pt idx="58">
                  <c:v>15493449.976642877</c:v>
                </c:pt>
                <c:pt idx="59">
                  <c:v>15493449.976642877</c:v>
                </c:pt>
                <c:pt idx="60">
                  <c:v>15493449.976642877</c:v>
                </c:pt>
                <c:pt idx="61">
                  <c:v>15493449.976642877</c:v>
                </c:pt>
                <c:pt idx="62">
                  <c:v>15493449.976642877</c:v>
                </c:pt>
                <c:pt idx="63">
                  <c:v>15493449.976642877</c:v>
                </c:pt>
                <c:pt idx="64">
                  <c:v>15493449.976642877</c:v>
                </c:pt>
                <c:pt idx="65">
                  <c:v>15493449.976642877</c:v>
                </c:pt>
                <c:pt idx="66">
                  <c:v>15493449.976642877</c:v>
                </c:pt>
                <c:pt idx="67">
                  <c:v>13614273.376642879</c:v>
                </c:pt>
                <c:pt idx="68">
                  <c:v>15493449.976642877</c:v>
                </c:pt>
                <c:pt idx="69">
                  <c:v>15493449.976642877</c:v>
                </c:pt>
                <c:pt idx="70">
                  <c:v>15493449.976642877</c:v>
                </c:pt>
                <c:pt idx="71">
                  <c:v>15493449.976642877</c:v>
                </c:pt>
                <c:pt idx="72">
                  <c:v>15493449.976642877</c:v>
                </c:pt>
                <c:pt idx="73">
                  <c:v>15493449.976642877</c:v>
                </c:pt>
                <c:pt idx="74">
                  <c:v>15493449.976642877</c:v>
                </c:pt>
                <c:pt idx="75">
                  <c:v>15493449.976642877</c:v>
                </c:pt>
                <c:pt idx="76">
                  <c:v>15493449.976642877</c:v>
                </c:pt>
                <c:pt idx="77">
                  <c:v>15493449.976642877</c:v>
                </c:pt>
                <c:pt idx="78">
                  <c:v>15493449.976642877</c:v>
                </c:pt>
                <c:pt idx="79">
                  <c:v>15493449.976642877</c:v>
                </c:pt>
                <c:pt idx="80">
                  <c:v>15493449.976642877</c:v>
                </c:pt>
                <c:pt idx="81">
                  <c:v>15493449.976642877</c:v>
                </c:pt>
                <c:pt idx="82">
                  <c:v>15493449.976642877</c:v>
                </c:pt>
                <c:pt idx="83">
                  <c:v>15493449.976642877</c:v>
                </c:pt>
                <c:pt idx="84">
                  <c:v>15493449.976642877</c:v>
                </c:pt>
                <c:pt idx="85">
                  <c:v>15493449.976642877</c:v>
                </c:pt>
                <c:pt idx="86">
                  <c:v>15493449.976642877</c:v>
                </c:pt>
                <c:pt idx="87">
                  <c:v>15493449.976642877</c:v>
                </c:pt>
                <c:pt idx="88">
                  <c:v>34336803.588950306</c:v>
                </c:pt>
                <c:pt idx="89">
                  <c:v>15493449.976642877</c:v>
                </c:pt>
                <c:pt idx="90">
                  <c:v>15493449.976642877</c:v>
                </c:pt>
                <c:pt idx="91">
                  <c:v>15493449.976642877</c:v>
                </c:pt>
                <c:pt idx="92">
                  <c:v>34336803.588950306</c:v>
                </c:pt>
                <c:pt idx="93">
                  <c:v>15493449.976642877</c:v>
                </c:pt>
                <c:pt idx="94">
                  <c:v>15493449.976642877</c:v>
                </c:pt>
                <c:pt idx="95">
                  <c:v>15493449.976642877</c:v>
                </c:pt>
                <c:pt idx="96">
                  <c:v>28055685.718181163</c:v>
                </c:pt>
                <c:pt idx="97">
                  <c:v>15493449.976642877</c:v>
                </c:pt>
                <c:pt idx="98">
                  <c:v>15493449.976642877</c:v>
                </c:pt>
                <c:pt idx="99">
                  <c:v>15493449.976642877</c:v>
                </c:pt>
                <c:pt idx="100">
                  <c:v>28055685.718181163</c:v>
                </c:pt>
                <c:pt idx="101">
                  <c:v>15493449.976642877</c:v>
                </c:pt>
                <c:pt idx="102">
                  <c:v>15493449.976642877</c:v>
                </c:pt>
                <c:pt idx="103">
                  <c:v>15493449.976642877</c:v>
                </c:pt>
                <c:pt idx="104">
                  <c:v>28055685.718181163</c:v>
                </c:pt>
                <c:pt idx="105">
                  <c:v>15493449.976642877</c:v>
                </c:pt>
                <c:pt idx="106">
                  <c:v>15493449.976642877</c:v>
                </c:pt>
                <c:pt idx="107">
                  <c:v>15493449.976642877</c:v>
                </c:pt>
                <c:pt idx="108">
                  <c:v>15493449.976642877</c:v>
                </c:pt>
                <c:pt idx="109">
                  <c:v>15493449.976642877</c:v>
                </c:pt>
                <c:pt idx="110">
                  <c:v>15493449.976642877</c:v>
                </c:pt>
                <c:pt idx="111">
                  <c:v>15493449.976642877</c:v>
                </c:pt>
                <c:pt idx="112">
                  <c:v>15493449.976642877</c:v>
                </c:pt>
                <c:pt idx="113">
                  <c:v>15493449.976642877</c:v>
                </c:pt>
                <c:pt idx="114">
                  <c:v>15493449.976642877</c:v>
                </c:pt>
                <c:pt idx="115">
                  <c:v>15493449.976642877</c:v>
                </c:pt>
                <c:pt idx="116">
                  <c:v>15493449.976642877</c:v>
                </c:pt>
                <c:pt idx="117">
                  <c:v>15493449.976642877</c:v>
                </c:pt>
                <c:pt idx="118">
                  <c:v>15493449.976642877</c:v>
                </c:pt>
                <c:pt idx="119">
                  <c:v>14777055.39914288</c:v>
                </c:pt>
                <c:pt idx="120">
                  <c:v>15493449.976642877</c:v>
                </c:pt>
                <c:pt idx="121">
                  <c:v>15493449.976642877</c:v>
                </c:pt>
                <c:pt idx="122">
                  <c:v>15493449.976642877</c:v>
                </c:pt>
                <c:pt idx="123">
                  <c:v>14777055.39914288</c:v>
                </c:pt>
                <c:pt idx="124">
                  <c:v>15493449.976642877</c:v>
                </c:pt>
                <c:pt idx="125">
                  <c:v>14553861.67664288</c:v>
                </c:pt>
                <c:pt idx="126">
                  <c:v>15493449.976642877</c:v>
                </c:pt>
                <c:pt idx="127">
                  <c:v>15493449.976642877</c:v>
                </c:pt>
                <c:pt idx="128">
                  <c:v>15493449.976642877</c:v>
                </c:pt>
                <c:pt idx="129">
                  <c:v>14553861.67664288</c:v>
                </c:pt>
                <c:pt idx="130">
                  <c:v>15493449.976642877</c:v>
                </c:pt>
                <c:pt idx="131">
                  <c:v>15493449.976642877</c:v>
                </c:pt>
                <c:pt idx="132">
                  <c:v>15493449.976642877</c:v>
                </c:pt>
                <c:pt idx="133">
                  <c:v>15493449.976642877</c:v>
                </c:pt>
                <c:pt idx="134">
                  <c:v>15493449.976642877</c:v>
                </c:pt>
                <c:pt idx="135">
                  <c:v>15493449.976642877</c:v>
                </c:pt>
                <c:pt idx="136">
                  <c:v>15493449.976642877</c:v>
                </c:pt>
                <c:pt idx="137">
                  <c:v>15493449.976642877</c:v>
                </c:pt>
                <c:pt idx="138">
                  <c:v>15493449.976642877</c:v>
                </c:pt>
                <c:pt idx="139">
                  <c:v>15493449.976642877</c:v>
                </c:pt>
                <c:pt idx="140">
                  <c:v>15493449.976642877</c:v>
                </c:pt>
                <c:pt idx="141">
                  <c:v>15493449.976642877</c:v>
                </c:pt>
                <c:pt idx="142">
                  <c:v>15493449.976642877</c:v>
                </c:pt>
                <c:pt idx="143">
                  <c:v>15493449.976642877</c:v>
                </c:pt>
                <c:pt idx="144">
                  <c:v>15493449.976642877</c:v>
                </c:pt>
                <c:pt idx="145">
                  <c:v>15493449.976642877</c:v>
                </c:pt>
                <c:pt idx="146">
                  <c:v>15493449.976642877</c:v>
                </c:pt>
                <c:pt idx="147">
                  <c:v>15493449.976642877</c:v>
                </c:pt>
              </c:numCache>
            </c:numRef>
          </c:val>
          <c:extLst xmlns:c15="http://schemas.microsoft.com/office/drawing/2012/chart">
            <c:ext xmlns:c16="http://schemas.microsoft.com/office/drawing/2014/chart" uri="{C3380CC4-5D6E-409C-BE32-E72D297353CC}">
              <c16:uniqueId val="{00000001-8543-D845-B1A3-CBD6815EC49D}"/>
            </c:ext>
          </c:extLst>
        </c:ser>
        <c:dLbls>
          <c:showLegendKey val="0"/>
          <c:showVal val="0"/>
          <c:showCatName val="0"/>
          <c:showSerName val="0"/>
          <c:showPercent val="0"/>
          <c:showBubbleSize val="0"/>
        </c:dLbls>
        <c:gapWidth val="186"/>
        <c:overlap val="100"/>
        <c:axId val="1012309663"/>
        <c:axId val="729067999"/>
      </c:barChart>
      <c:catAx>
        <c:axId val="1012309663"/>
        <c:scaling>
          <c:orientation val="maxMin"/>
        </c:scaling>
        <c:delete val="0"/>
        <c:axPos val="l"/>
        <c:numFmt formatCode="General" sourceLinked="1"/>
        <c:majorTickMark val="out"/>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9067999"/>
        <c:crossesAt val="15493449.976642877"/>
        <c:auto val="1"/>
        <c:lblAlgn val="ctr"/>
        <c:lblOffset val="100"/>
        <c:noMultiLvlLbl val="0"/>
      </c:catAx>
      <c:valAx>
        <c:axId val="729067999"/>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out"/>
        <c:minorTickMark val="out"/>
        <c:tickLblPos val="nextTo"/>
        <c:spPr>
          <a:noFill/>
          <a:ln>
            <a:solidFill>
              <a:schemeClr val="tx2"/>
            </a:solidFill>
          </a:ln>
          <a:effectLst>
            <a:softEdge rad="0"/>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2309663"/>
        <c:crossesAt val="1"/>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12</xdr:col>
      <xdr:colOff>228600</xdr:colOff>
      <xdr:row>4</xdr:row>
      <xdr:rowOff>35212</xdr:rowOff>
    </xdr:from>
    <xdr:to>
      <xdr:col>21</xdr:col>
      <xdr:colOff>626110</xdr:colOff>
      <xdr:row>24</xdr:row>
      <xdr:rowOff>160772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0947400" y="949612"/>
          <a:ext cx="7823200" cy="44289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190358</xdr:colOff>
      <xdr:row>1</xdr:row>
      <xdr:rowOff>165664</xdr:rowOff>
    </xdr:from>
    <xdr:ext cx="3667735" cy="462114"/>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6B3DCB90-2B92-4E15-896F-F21E1D41F1F2}"/>
                </a:ext>
              </a:extLst>
            </xdr:cNvPr>
            <xdr:cNvSpPr txBox="1"/>
          </xdr:nvSpPr>
          <xdr:spPr>
            <a:xfrm>
              <a:off x="495158" y="365689"/>
              <a:ext cx="3667735" cy="462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panose="02040503050406030204" pitchFamily="18" charset="0"/>
                          </a:rPr>
                          <m:t>𝑁𝐻𝐺𝐷𝑃𝐿𝑜𝑠𝑠</m:t>
                        </m:r>
                      </m:e>
                      <m:sub>
                        <m:r>
                          <a:rPr lang="en-US" sz="1100" b="0" i="1">
                            <a:latin typeface="Cambria Math" panose="02040503050406030204" pitchFamily="18" charset="0"/>
                          </a:rPr>
                          <m:t>𝑖</m:t>
                        </m:r>
                      </m:sub>
                    </m:sSub>
                    <m:r>
                      <a:rPr lang="en-US" sz="1100" b="0" i="1">
                        <a:latin typeface="Cambria Math" panose="02040503050406030204" pitchFamily="18" charset="0"/>
                      </a:rPr>
                      <m:t>=</m:t>
                    </m:r>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𝑡</m:t>
                        </m:r>
                        <m:r>
                          <a:rPr lang="en-US" sz="1100" b="0" i="1">
                            <a:latin typeface="Cambria Math" panose="02040503050406030204" pitchFamily="18" charset="0"/>
                          </a:rPr>
                          <m:t>=1</m:t>
                        </m:r>
                      </m:sub>
                      <m:sup>
                        <m:r>
                          <a:rPr lang="en-US" sz="1100" b="0" i="1">
                            <a:latin typeface="Cambria Math" panose="02040503050406030204" pitchFamily="18" charset="0"/>
                          </a:rPr>
                          <m:t>𝑛</m:t>
                        </m:r>
                      </m:sup>
                      <m:e>
                        <m:r>
                          <a:rPr lang="en-US" sz="1100" b="0" i="1">
                            <a:latin typeface="Cambria Math" panose="02040503050406030204" pitchFamily="18" charset="0"/>
                          </a:rPr>
                          <m:t>{</m:t>
                        </m:r>
                        <m:d>
                          <m:dPr>
                            <m:begChr m:val="["/>
                            <m:endChr m:val="]"/>
                            <m:ctrlPr>
                              <a:rPr lang="en-US" sz="1100" b="0" i="1">
                                <a:latin typeface="Cambria Math" panose="02040503050406030204" pitchFamily="18" charset="0"/>
                              </a:rPr>
                            </m:ctrlPr>
                          </m:dPr>
                          <m:e>
                            <m:r>
                              <a:rPr lang="en-US" sz="1100" b="0" i="1">
                                <a:latin typeface="Cambria Math" panose="02040503050406030204" pitchFamily="18" charset="0"/>
                              </a:rPr>
                              <m:t>1−</m:t>
                            </m:r>
                            <m:sSup>
                              <m:sSupPr>
                                <m:ctrlPr>
                                  <a:rPr lang="en-US" sz="1100" b="0" i="1">
                                    <a:latin typeface="Cambria Math" panose="02040503050406030204" pitchFamily="18" charset="0"/>
                                  </a:rPr>
                                </m:ctrlPr>
                              </m:sSupPr>
                              <m:e>
                                <m:r>
                                  <a:rPr lang="en-US" sz="1100" b="0" i="1">
                                    <a:latin typeface="Cambria Math" panose="02040503050406030204" pitchFamily="18" charset="0"/>
                                  </a:rPr>
                                  <m:t>(1+</m:t>
                                </m:r>
                                <m:r>
                                  <a:rPr lang="en-US" sz="1100" b="0" i="1">
                                    <a:latin typeface="Cambria Math" panose="02040503050406030204" pitchFamily="18" charset="0"/>
                                  </a:rPr>
                                  <m:t>𝑟</m:t>
                                </m:r>
                                <m:r>
                                  <a:rPr lang="en-US" sz="1100" b="0" i="1">
                                    <a:latin typeface="Cambria Math" panose="02040503050406030204" pitchFamily="18" charset="0"/>
                                  </a:rPr>
                                  <m:t>)</m:t>
                                </m:r>
                              </m:e>
                              <m:sup>
                                <m:r>
                                  <a:rPr lang="en-US" sz="1100" b="0" i="1">
                                    <a:latin typeface="Cambria Math" panose="02040503050406030204" pitchFamily="18" charset="0"/>
                                  </a:rPr>
                                  <m:t>𝑡</m:t>
                                </m:r>
                              </m:sup>
                            </m:sSup>
                          </m:e>
                        </m:d>
                        <m:r>
                          <a:rPr lang="en-US" sz="1100" b="0" i="1">
                            <a:latin typeface="Cambria Math" panose="02040503050406030204" pitchFamily="18" charset="0"/>
                          </a:rPr>
                          <m:t>𝑥</m:t>
                        </m:r>
                        <m:d>
                          <m:dPr>
                            <m:begChr m:val="["/>
                            <m:endChr m:val="]"/>
                            <m:ctrlPr>
                              <a:rPr lang="en-US" sz="1100" b="0" i="1">
                                <a:latin typeface="Cambria Math" panose="02040503050406030204" pitchFamily="18" charset="0"/>
                              </a:rPr>
                            </m:ctrlPr>
                          </m:dPr>
                          <m:e>
                            <m:r>
                              <a:rPr lang="en-US" sz="1100" b="0" i="1">
                                <a:latin typeface="Cambria Math" panose="02040503050406030204" pitchFamily="18" charset="0"/>
                              </a:rPr>
                              <m:t>𝑁𝐻𝐺𝐷𝑃𝑃𝐶𝑈𝑆</m:t>
                            </m:r>
                            <m:r>
                              <a:rPr lang="en-US" sz="1100" b="0" i="1">
                                <a:latin typeface="Cambria Math" panose="02040503050406030204" pitchFamily="18" charset="0"/>
                              </a:rPr>
                              <m:t>$</m:t>
                            </m:r>
                          </m:e>
                        </m:d>
                        <m:r>
                          <a:rPr lang="en-US" sz="1100" b="0" i="1">
                            <a:latin typeface="Cambria Math" panose="02040503050406030204" pitchFamily="18" charset="0"/>
                          </a:rPr>
                          <m:t>𝑥</m:t>
                        </m:r>
                        <m:d>
                          <m:dPr>
                            <m:begChr m:val="["/>
                            <m:endChr m:val="]"/>
                            <m:ctrlPr>
                              <a:rPr lang="en-US" sz="1100" b="0" i="1">
                                <a:latin typeface="Cambria Math" panose="02040503050406030204" pitchFamily="18" charset="0"/>
                              </a:rPr>
                            </m:ctrlPr>
                          </m:dPr>
                          <m:e>
                            <m:r>
                              <a:rPr lang="en-US" sz="1100" b="0" i="1">
                                <a:latin typeface="Cambria Math" panose="02040503050406030204" pitchFamily="18" charset="0"/>
                              </a:rPr>
                              <m:t>𝑇𝐶𝐷</m:t>
                            </m:r>
                          </m:e>
                        </m:d>
                        <m:r>
                          <a:rPr lang="en-US" sz="1100" b="0" i="1">
                            <a:latin typeface="Cambria Math" panose="02040503050406030204" pitchFamily="18" charset="0"/>
                          </a:rPr>
                          <m:t>}</m:t>
                        </m:r>
                      </m:e>
                    </m:nary>
                  </m:oMath>
                </m:oMathPara>
              </a14:m>
              <a:endParaRPr lang="en-US" sz="1100"/>
            </a:p>
          </xdr:txBody>
        </xdr:sp>
      </mc:Choice>
      <mc:Fallback xmlns="">
        <xdr:sp macro="" textlink="">
          <xdr:nvSpPr>
            <xdr:cNvPr id="2" name="TextBox 1">
              <a:extLst>
                <a:ext uri="{FF2B5EF4-FFF2-40B4-BE49-F238E27FC236}">
                  <a16:creationId xmlns:a16="http://schemas.microsoft.com/office/drawing/2014/main" id="{6B3DCB90-2B92-4E15-896F-F21E1D41F1F2}"/>
                </a:ext>
              </a:extLst>
            </xdr:cNvPr>
            <xdr:cNvSpPr txBox="1"/>
          </xdr:nvSpPr>
          <xdr:spPr>
            <a:xfrm>
              <a:off x="495158" y="365689"/>
              <a:ext cx="3667735" cy="462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〖𝑁𝐻𝐺𝐷𝑃𝐿𝑜𝑠𝑠〗_𝑖=∑_(𝑡=1)^𝑛▒〖{[1−〖(1+𝑟)〗^𝑡 ]𝑥[𝑁𝐻𝐺𝐷𝑃𝑃𝐶𝑈𝑆$]𝑥[𝑇𝐶𝐷]}〗</a:t>
              </a:r>
              <a:endParaRPr lang="en-US" sz="1100"/>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xdr:from>
      <xdr:col>11</xdr:col>
      <xdr:colOff>0</xdr:colOff>
      <xdr:row>2</xdr:row>
      <xdr:rowOff>12700</xdr:rowOff>
    </xdr:from>
    <xdr:to>
      <xdr:col>12</xdr:col>
      <xdr:colOff>12700</xdr:colOff>
      <xdr:row>4</xdr:row>
      <xdr:rowOff>0</xdr:rowOff>
    </xdr:to>
    <xdr:sp macro="[0]!SFmodel_OWSA" textlink="">
      <xdr:nvSpPr>
        <xdr:cNvPr id="4" name="Rectangle 3">
          <a:extLst>
            <a:ext uri="{FF2B5EF4-FFF2-40B4-BE49-F238E27FC236}">
              <a16:creationId xmlns:a16="http://schemas.microsoft.com/office/drawing/2014/main" id="{00000000-0008-0000-0600-000004000000}"/>
            </a:ext>
          </a:extLst>
        </xdr:cNvPr>
        <xdr:cNvSpPr/>
      </xdr:nvSpPr>
      <xdr:spPr>
        <a:xfrm>
          <a:off x="14376400" y="609600"/>
          <a:ext cx="1320800" cy="444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6984</xdr:colOff>
      <xdr:row>4</xdr:row>
      <xdr:rowOff>16510</xdr:rowOff>
    </xdr:from>
    <xdr:to>
      <xdr:col>5</xdr:col>
      <xdr:colOff>1301749</xdr:colOff>
      <xdr:row>153</xdr:row>
      <xdr:rowOff>227330</xdr:rowOff>
    </xdr:to>
    <xdr:graphicFrame macro="">
      <xdr:nvGraphicFramePr>
        <xdr:cNvPr id="7" name="Chart 6">
          <a:extLst>
            <a:ext uri="{FF2B5EF4-FFF2-40B4-BE49-F238E27FC236}">
              <a16:creationId xmlns:a16="http://schemas.microsoft.com/office/drawing/2014/main" id="{00000000-0008-0000-0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spc-my.sharepoint.com/Users/sabrazaraa/Desktop/Desktop/Dissertation/Oxytocin%20model_%20final_04_21_23_issues%20addressed_mortality%20issue.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uspc-my.sharepoint.com/personal/amanda_lewin_usp_org/Documents/PQM+/Core%20MCH/SF%20Meds/Copy%20of%20SF%20model_final_04-20-23_Kenya%20pilot_revised%20(002).xlsm" TargetMode="External"/><Relationship Id="rId1" Type="http://schemas.openxmlformats.org/officeDocument/2006/relationships/externalLinkPath" Target="https://uspc-my.sharepoint.com/personal/amanda_lewin_usp_org/Documents/PQM+/Core%20MCH/SF%20Meds/Africa%20Template/Copy%20of%20SF%20model_final_04-20-23_Kenya%20pilot_revised%20(0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Mortality"/>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Setting"/>
      <sheetName val="Model Inputs"/>
      <sheetName val="Model"/>
      <sheetName val="Detailed Results "/>
      <sheetName val="Mortality Cost calculation"/>
      <sheetName val="Results"/>
      <sheetName val="OWSA"/>
      <sheetName val="Appendix"/>
      <sheetName val="U_Lists"/>
    </sheetNames>
    <sheetDataSet>
      <sheetData sheetId="0" refreshError="1"/>
      <sheetData sheetId="1" refreshError="1"/>
      <sheetData sheetId="2">
        <row r="229">
          <cell r="G229">
            <v>47.47</v>
          </cell>
        </row>
        <row r="230">
          <cell r="G230">
            <v>1838</v>
          </cell>
        </row>
        <row r="231">
          <cell r="G231">
            <v>0.03</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who.int/data/gho/data/indicators/indicator-details/GHO/children-aged-5-years-with-pneumonia-symptoms-taken-to-a-healthcare-provider-(-)" TargetMode="External"/><Relationship Id="rId1" Type="http://schemas.openxmlformats.org/officeDocument/2006/relationships/hyperlink" Target="https://www.worlddata.info/average-income.ph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7975F-A8DD-A44F-850A-1532BB372CE1}">
  <sheetPr codeName="Sheet3">
    <outlinePr summaryBelow="0"/>
  </sheetPr>
  <dimension ref="A2:AF83"/>
  <sheetViews>
    <sheetView zoomScale="70" zoomScaleNormal="70" workbookViewId="0">
      <selection activeCell="B34" sqref="B34"/>
    </sheetView>
  </sheetViews>
  <sheetFormatPr defaultColWidth="10.83203125" defaultRowHeight="18.5"/>
  <cols>
    <col min="1" max="1" width="3.33203125" style="2" customWidth="1"/>
    <col min="2" max="2" width="18.5" style="233" customWidth="1"/>
    <col min="3" max="3" width="3.5" style="2" customWidth="1"/>
    <col min="4" max="4" width="9.83203125" style="2" customWidth="1"/>
    <col min="5" max="7" width="10.83203125" style="2"/>
    <col min="8" max="8" width="11" style="2" customWidth="1"/>
    <col min="9" max="9" width="34" style="2" customWidth="1"/>
    <col min="10" max="10" width="17" style="2" customWidth="1"/>
    <col min="11" max="11" width="21" style="2" customWidth="1"/>
    <col min="12" max="12" width="2" style="2" customWidth="1"/>
    <col min="13" max="16384" width="10.83203125" style="2"/>
  </cols>
  <sheetData>
    <row r="2" spans="1:32" ht="23">
      <c r="C2" s="11"/>
      <c r="D2" s="537" t="s">
        <v>0</v>
      </c>
      <c r="E2" s="538"/>
      <c r="F2" s="538"/>
      <c r="G2" s="538"/>
      <c r="H2" s="538"/>
      <c r="I2" s="538"/>
      <c r="J2" s="538"/>
      <c r="K2" s="539"/>
      <c r="L2" s="11"/>
      <c r="M2" s="11"/>
      <c r="N2" s="11"/>
      <c r="O2" s="11"/>
      <c r="P2" s="11"/>
    </row>
    <row r="3" spans="1:32">
      <c r="B3" s="234"/>
      <c r="D3" s="6"/>
      <c r="E3" s="6"/>
      <c r="F3" s="6"/>
      <c r="G3" s="6"/>
      <c r="H3" s="6"/>
      <c r="I3" s="6"/>
      <c r="J3" s="6"/>
      <c r="K3" s="6"/>
      <c r="M3" s="6"/>
      <c r="N3" s="6"/>
      <c r="O3" s="6"/>
      <c r="P3" s="6"/>
      <c r="Q3" s="6"/>
      <c r="R3" s="6"/>
      <c r="S3" s="6"/>
      <c r="T3" s="6"/>
      <c r="U3" s="6"/>
      <c r="V3" s="6"/>
    </row>
    <row r="4" spans="1:32" ht="16" customHeight="1">
      <c r="A4" s="8"/>
      <c r="B4" s="551" t="s">
        <v>1</v>
      </c>
      <c r="C4" s="15"/>
      <c r="D4" s="545" t="s">
        <v>2</v>
      </c>
      <c r="E4" s="546"/>
      <c r="F4" s="546"/>
      <c r="G4" s="546"/>
      <c r="H4" s="546"/>
      <c r="I4" s="546"/>
      <c r="J4" s="546"/>
      <c r="K4" s="547"/>
      <c r="L4" s="30"/>
      <c r="M4" s="35" t="s">
        <v>3</v>
      </c>
      <c r="N4" s="36"/>
      <c r="O4" s="36"/>
      <c r="P4" s="36"/>
      <c r="Q4" s="36"/>
      <c r="R4" s="36"/>
      <c r="S4" s="36"/>
      <c r="T4" s="36"/>
      <c r="U4" s="36"/>
      <c r="V4" s="37"/>
      <c r="W4" s="5"/>
    </row>
    <row r="5" spans="1:32" ht="15.5">
      <c r="A5" s="8"/>
      <c r="B5" s="552"/>
      <c r="C5" s="15"/>
      <c r="D5" s="166"/>
      <c r="E5" s="79"/>
      <c r="F5" s="79"/>
      <c r="G5" s="79"/>
      <c r="H5" s="79"/>
      <c r="I5" s="79"/>
      <c r="J5" s="79"/>
      <c r="K5" s="97"/>
      <c r="L5" s="15"/>
      <c r="M5" s="28"/>
      <c r="V5" s="29"/>
      <c r="W5" s="5"/>
    </row>
    <row r="6" spans="1:32" ht="16" customHeight="1">
      <c r="B6" s="235"/>
      <c r="C6" s="8"/>
      <c r="D6" s="548" t="s">
        <v>4</v>
      </c>
      <c r="E6" s="549"/>
      <c r="F6" s="549"/>
      <c r="G6" s="549"/>
      <c r="H6" s="549"/>
      <c r="I6" s="549"/>
      <c r="J6" s="549"/>
      <c r="K6" s="550"/>
      <c r="L6" s="15"/>
      <c r="M6" s="28"/>
      <c r="V6" s="29"/>
      <c r="W6" s="5"/>
    </row>
    <row r="7" spans="1:32" ht="16" customHeight="1">
      <c r="B7" s="540" t="s">
        <v>5</v>
      </c>
      <c r="C7" s="8"/>
      <c r="D7" s="166" t="s">
        <v>6</v>
      </c>
      <c r="E7" s="79"/>
      <c r="F7" s="79"/>
      <c r="G7" s="79"/>
      <c r="H7" s="79"/>
      <c r="I7" s="79"/>
      <c r="J7" s="79"/>
      <c r="K7" s="97"/>
      <c r="L7" s="15"/>
      <c r="M7" s="28"/>
      <c r="V7" s="29"/>
      <c r="W7" s="5"/>
    </row>
    <row r="8" spans="1:32" ht="15.5">
      <c r="B8" s="542"/>
      <c r="C8" s="8"/>
      <c r="D8" s="166"/>
      <c r="E8" s="79"/>
      <c r="F8" s="79"/>
      <c r="G8" s="79"/>
      <c r="H8" s="79"/>
      <c r="I8" s="79"/>
      <c r="J8" s="79"/>
      <c r="K8" s="97"/>
      <c r="L8" s="15"/>
      <c r="M8" s="28"/>
      <c r="V8" s="29"/>
      <c r="W8" s="5"/>
    </row>
    <row r="9" spans="1:32">
      <c r="B9" s="236"/>
      <c r="C9" s="8"/>
      <c r="D9" s="167" t="s">
        <v>7</v>
      </c>
      <c r="E9" s="79"/>
      <c r="F9" s="79"/>
      <c r="G9" s="79"/>
      <c r="H9" s="79"/>
      <c r="I9" s="79"/>
      <c r="J9" s="79"/>
      <c r="K9" s="97"/>
      <c r="L9" s="15"/>
      <c r="M9" s="28"/>
      <c r="V9" s="29"/>
      <c r="W9" s="5"/>
    </row>
    <row r="10" spans="1:32" ht="16" customHeight="1">
      <c r="B10" s="540" t="s">
        <v>8</v>
      </c>
      <c r="C10" s="8"/>
      <c r="D10" s="166" t="s">
        <v>9</v>
      </c>
      <c r="E10" s="79"/>
      <c r="F10" s="79"/>
      <c r="G10" s="79"/>
      <c r="H10" s="79"/>
      <c r="I10" s="79"/>
      <c r="J10" s="79"/>
      <c r="K10" s="97"/>
      <c r="L10" s="15"/>
      <c r="M10" s="28"/>
      <c r="V10" s="29"/>
      <c r="W10" s="5"/>
    </row>
    <row r="11" spans="1:32" ht="15.5">
      <c r="B11" s="542"/>
      <c r="C11" s="8"/>
      <c r="D11" s="166" t="s">
        <v>10</v>
      </c>
      <c r="E11" s="79"/>
      <c r="F11" s="161"/>
      <c r="G11" s="161"/>
      <c r="H11" s="161"/>
      <c r="I11" s="161"/>
      <c r="J11" s="161"/>
      <c r="K11" s="168"/>
      <c r="L11" s="31"/>
      <c r="M11" s="38"/>
      <c r="N11" s="14"/>
      <c r="O11" s="14"/>
      <c r="P11" s="14"/>
      <c r="V11" s="29"/>
      <c r="W11" s="5"/>
    </row>
    <row r="12" spans="1:32">
      <c r="B12" s="236"/>
      <c r="C12" s="8"/>
      <c r="D12" s="166" t="s">
        <v>11</v>
      </c>
      <c r="E12" s="79"/>
      <c r="F12" s="79"/>
      <c r="G12" s="79"/>
      <c r="H12" s="79"/>
      <c r="I12" s="79"/>
      <c r="J12" s="79"/>
      <c r="K12" s="97"/>
      <c r="L12" s="15"/>
      <c r="M12" s="28"/>
      <c r="V12" s="29"/>
      <c r="W12" s="5"/>
    </row>
    <row r="13" spans="1:32" ht="16" customHeight="1">
      <c r="B13" s="540" t="s">
        <v>12</v>
      </c>
      <c r="C13" s="8"/>
      <c r="D13" s="166"/>
      <c r="E13" s="79"/>
      <c r="F13" s="79"/>
      <c r="G13" s="79"/>
      <c r="H13" s="79"/>
      <c r="I13" s="79"/>
      <c r="J13" s="79"/>
      <c r="K13" s="97"/>
      <c r="L13" s="15"/>
      <c r="M13" s="28"/>
      <c r="V13" s="29"/>
      <c r="W13" s="5"/>
    </row>
    <row r="14" spans="1:32" ht="15.5">
      <c r="B14" s="542"/>
      <c r="C14" s="8"/>
      <c r="D14" s="166" t="s">
        <v>13</v>
      </c>
      <c r="E14" s="79"/>
      <c r="F14" s="79"/>
      <c r="G14" s="79"/>
      <c r="H14" s="79"/>
      <c r="I14" s="79"/>
      <c r="J14" s="79"/>
      <c r="K14" s="97"/>
      <c r="L14" s="15"/>
      <c r="M14" s="28"/>
      <c r="V14" s="29"/>
      <c r="W14" s="5"/>
    </row>
    <row r="15" spans="1:32">
      <c r="B15" s="236"/>
      <c r="C15" s="8"/>
      <c r="D15" s="166" t="s">
        <v>14</v>
      </c>
      <c r="E15" s="79"/>
      <c r="F15" s="162"/>
      <c r="G15" s="162"/>
      <c r="H15" s="162"/>
      <c r="I15" s="162"/>
      <c r="J15" s="162"/>
      <c r="K15" s="169"/>
      <c r="L15" s="32"/>
      <c r="M15" s="39"/>
      <c r="N15" s="27"/>
      <c r="O15" s="27"/>
      <c r="P15" s="27"/>
      <c r="Q15" s="22"/>
      <c r="R15" s="22"/>
      <c r="S15" s="22"/>
      <c r="T15" s="22"/>
      <c r="U15" s="22"/>
      <c r="V15" s="40"/>
      <c r="W15" s="34"/>
      <c r="X15" s="22"/>
      <c r="Y15" s="22"/>
      <c r="Z15" s="22"/>
      <c r="AA15" s="22"/>
      <c r="AB15" s="22"/>
      <c r="AC15" s="22"/>
      <c r="AD15" s="22"/>
      <c r="AE15" s="22"/>
      <c r="AF15" s="22"/>
    </row>
    <row r="16" spans="1:32" ht="14.25" customHeight="1">
      <c r="B16" s="540" t="s">
        <v>15</v>
      </c>
      <c r="C16" s="8"/>
      <c r="D16" s="28"/>
      <c r="E16" s="163"/>
      <c r="F16" s="79"/>
      <c r="G16" s="79"/>
      <c r="H16" s="79"/>
      <c r="I16" s="79"/>
      <c r="J16" s="79"/>
      <c r="K16" s="97"/>
      <c r="L16" s="15"/>
      <c r="M16" s="28"/>
      <c r="V16" s="29"/>
      <c r="W16" s="5"/>
    </row>
    <row r="17" spans="2:32" ht="15.5">
      <c r="B17" s="541"/>
      <c r="C17" s="8"/>
      <c r="D17" s="170" t="s">
        <v>16</v>
      </c>
      <c r="E17" s="79"/>
      <c r="F17" s="162"/>
      <c r="G17" s="162"/>
      <c r="H17" s="162"/>
      <c r="I17" s="162"/>
      <c r="J17" s="162"/>
      <c r="K17" s="169"/>
      <c r="L17" s="15"/>
      <c r="M17" s="28"/>
      <c r="V17" s="29"/>
      <c r="W17" s="5"/>
    </row>
    <row r="18" spans="2:32">
      <c r="B18" s="236"/>
      <c r="C18" s="8"/>
      <c r="D18" s="172" t="s">
        <v>17</v>
      </c>
      <c r="E18" s="79"/>
      <c r="F18" s="79"/>
      <c r="G18" s="79"/>
      <c r="H18" s="79"/>
      <c r="I18" s="79"/>
      <c r="J18" s="79"/>
      <c r="K18" s="97"/>
      <c r="L18" s="15"/>
      <c r="M18" s="28"/>
      <c r="V18" s="29"/>
      <c r="W18" s="5"/>
    </row>
    <row r="19" spans="2:32" ht="16" customHeight="1">
      <c r="B19" s="540" t="s">
        <v>18</v>
      </c>
      <c r="C19" s="8"/>
      <c r="D19" s="173"/>
      <c r="E19" s="6"/>
      <c r="F19" s="6"/>
      <c r="G19" s="6"/>
      <c r="H19" s="6"/>
      <c r="I19" s="6"/>
      <c r="J19" s="6"/>
      <c r="K19" s="175"/>
      <c r="L19" s="32"/>
      <c r="M19" s="39"/>
      <c r="N19" s="27"/>
      <c r="O19" s="27"/>
      <c r="P19" s="27"/>
      <c r="Q19" s="22"/>
      <c r="R19" s="22"/>
      <c r="S19" s="22"/>
      <c r="T19" s="22"/>
      <c r="U19" s="22"/>
      <c r="V19" s="40"/>
      <c r="W19" s="34"/>
      <c r="X19" s="22"/>
      <c r="Y19" s="22"/>
      <c r="Z19" s="22"/>
      <c r="AA19" s="22"/>
      <c r="AB19" s="22"/>
      <c r="AC19" s="22"/>
      <c r="AD19" s="22"/>
      <c r="AE19" s="22"/>
      <c r="AF19" s="22"/>
    </row>
    <row r="20" spans="2:32" ht="17.25" customHeight="1">
      <c r="B20" s="541"/>
      <c r="C20" s="8"/>
      <c r="D20" s="173"/>
      <c r="E20" s="524" t="s">
        <v>19</v>
      </c>
      <c r="F20" s="525"/>
      <c r="G20" s="525" t="s">
        <v>20</v>
      </c>
      <c r="H20" s="525"/>
      <c r="I20" s="185" t="s">
        <v>21</v>
      </c>
      <c r="J20" s="186" t="s">
        <v>22</v>
      </c>
      <c r="K20" s="97"/>
      <c r="L20" s="15"/>
      <c r="M20" s="28"/>
      <c r="V20" s="29"/>
      <c r="W20" s="5"/>
    </row>
    <row r="21" spans="2:32" ht="18" customHeight="1">
      <c r="B21" s="541"/>
      <c r="C21" s="8"/>
      <c r="D21" s="173"/>
      <c r="E21" s="526" t="s">
        <v>23</v>
      </c>
      <c r="F21" s="527"/>
      <c r="G21" s="527" t="s">
        <v>24</v>
      </c>
      <c r="H21" s="527"/>
      <c r="I21" s="179">
        <v>0</v>
      </c>
      <c r="J21" s="180">
        <v>1</v>
      </c>
      <c r="K21" s="97"/>
      <c r="L21" s="15"/>
      <c r="M21" s="28"/>
      <c r="V21" s="29"/>
      <c r="W21" s="5"/>
    </row>
    <row r="22" spans="2:32" ht="19" customHeight="1">
      <c r="B22" s="542"/>
      <c r="C22" s="8"/>
      <c r="D22" s="173"/>
      <c r="E22" s="528" t="s">
        <v>25</v>
      </c>
      <c r="F22" s="529"/>
      <c r="G22" s="529" t="s">
        <v>26</v>
      </c>
      <c r="H22" s="529"/>
      <c r="I22" s="176">
        <v>0.3</v>
      </c>
      <c r="J22" s="181">
        <v>0.7</v>
      </c>
      <c r="K22" s="97"/>
      <c r="L22" s="15"/>
      <c r="M22" s="28"/>
      <c r="V22" s="29"/>
      <c r="W22" s="5"/>
    </row>
    <row r="23" spans="2:32">
      <c r="B23" s="237"/>
      <c r="D23" s="166"/>
      <c r="E23" s="528" t="s">
        <v>27</v>
      </c>
      <c r="F23" s="530"/>
      <c r="G23" s="533" t="s">
        <v>28</v>
      </c>
      <c r="H23" s="534"/>
      <c r="I23" s="177">
        <v>0.6</v>
      </c>
      <c r="J23" s="182">
        <v>0.3</v>
      </c>
      <c r="K23" s="178"/>
      <c r="L23" s="33"/>
      <c r="M23" s="39"/>
      <c r="N23" s="27"/>
      <c r="O23" s="27"/>
      <c r="P23" s="27"/>
      <c r="Q23" s="22"/>
      <c r="R23" s="22"/>
      <c r="S23" s="22"/>
      <c r="T23" s="22"/>
      <c r="U23" s="22"/>
      <c r="V23" s="40"/>
      <c r="W23" s="34"/>
      <c r="X23" s="22"/>
      <c r="Y23" s="22"/>
      <c r="Z23" s="22"/>
      <c r="AA23" s="22"/>
      <c r="AB23" s="22"/>
      <c r="AC23" s="22"/>
      <c r="AD23" s="22"/>
      <c r="AE23" s="22"/>
      <c r="AF23" s="22"/>
    </row>
    <row r="24" spans="2:32" ht="15.5">
      <c r="B24" s="543" t="s">
        <v>29</v>
      </c>
      <c r="C24" s="8"/>
      <c r="D24" s="166"/>
      <c r="E24" s="531" t="s">
        <v>30</v>
      </c>
      <c r="F24" s="532"/>
      <c r="G24" s="535" t="s">
        <v>31</v>
      </c>
      <c r="H24" s="536"/>
      <c r="I24" s="183">
        <v>1</v>
      </c>
      <c r="J24" s="184">
        <v>0</v>
      </c>
      <c r="K24" s="97"/>
      <c r="L24" s="8"/>
      <c r="M24" s="28"/>
      <c r="V24" s="29"/>
      <c r="W24" s="5"/>
    </row>
    <row r="25" spans="2:32" ht="15.5">
      <c r="B25" s="544"/>
      <c r="C25" s="8"/>
      <c r="D25" s="166"/>
      <c r="E25" s="79"/>
      <c r="F25" s="79"/>
      <c r="G25" s="79"/>
      <c r="H25" s="79"/>
      <c r="I25" s="79"/>
      <c r="J25" s="79"/>
      <c r="K25" s="97"/>
      <c r="L25" s="8"/>
      <c r="M25" s="28"/>
      <c r="V25" s="29"/>
      <c r="W25" s="5"/>
    </row>
    <row r="26" spans="2:32">
      <c r="B26" s="237"/>
      <c r="C26" s="8"/>
      <c r="D26" s="166" t="s">
        <v>32</v>
      </c>
      <c r="E26" s="79"/>
      <c r="F26" s="79"/>
      <c r="G26" s="79"/>
      <c r="H26" s="79"/>
      <c r="I26" s="79"/>
      <c r="J26" s="79"/>
      <c r="K26" s="97"/>
      <c r="L26" s="8"/>
      <c r="M26" s="28"/>
      <c r="V26" s="29"/>
      <c r="W26" s="5"/>
    </row>
    <row r="27" spans="2:32">
      <c r="B27" s="237"/>
      <c r="C27" s="8"/>
      <c r="D27" s="171"/>
      <c r="E27" s="100"/>
      <c r="F27" s="100"/>
      <c r="G27" s="100"/>
      <c r="H27" s="100"/>
      <c r="I27" s="100"/>
      <c r="J27" s="100"/>
      <c r="K27" s="174"/>
      <c r="L27" s="8"/>
      <c r="M27" s="41"/>
      <c r="N27" s="17"/>
      <c r="O27" s="17"/>
      <c r="P27" s="17"/>
      <c r="Q27" s="17"/>
      <c r="R27" s="17"/>
      <c r="S27" s="17"/>
      <c r="T27" s="17"/>
      <c r="U27" s="17"/>
      <c r="V27" s="42"/>
      <c r="W27" s="5"/>
    </row>
    <row r="28" spans="2:32">
      <c r="B28" s="237"/>
      <c r="C28" s="8"/>
      <c r="D28" s="164"/>
      <c r="E28" s="7"/>
      <c r="F28" s="7"/>
      <c r="G28" s="7"/>
      <c r="H28" s="7"/>
      <c r="I28" s="7"/>
      <c r="J28" s="7"/>
      <c r="K28" s="165"/>
      <c r="M28" s="4"/>
      <c r="N28" s="4"/>
      <c r="O28" s="4"/>
      <c r="P28" s="4"/>
      <c r="Q28" s="4"/>
      <c r="R28" s="4"/>
      <c r="S28" s="4"/>
      <c r="T28" s="4"/>
      <c r="U28" s="4"/>
      <c r="V28" s="4"/>
    </row>
    <row r="29" spans="2:32">
      <c r="B29" s="237"/>
      <c r="D29" s="521" t="s">
        <v>33</v>
      </c>
      <c r="E29" s="522"/>
      <c r="F29" s="522"/>
      <c r="G29" s="522"/>
      <c r="H29" s="522"/>
      <c r="I29" s="522"/>
      <c r="J29" s="523"/>
      <c r="K29" s="5"/>
      <c r="L29" s="27"/>
      <c r="M29" s="27"/>
      <c r="N29" s="27"/>
      <c r="O29" s="27"/>
      <c r="P29" s="27"/>
      <c r="Q29" s="22"/>
      <c r="R29" s="22"/>
      <c r="S29" s="22"/>
      <c r="T29" s="22"/>
      <c r="U29" s="22"/>
      <c r="V29" s="22"/>
      <c r="W29" s="22"/>
      <c r="X29" s="22"/>
      <c r="Y29" s="22"/>
      <c r="Z29" s="22"/>
      <c r="AA29" s="22"/>
      <c r="AB29" s="22"/>
      <c r="AC29" s="22"/>
      <c r="AD29" s="22"/>
      <c r="AE29" s="22"/>
      <c r="AF29" s="22"/>
    </row>
    <row r="30" spans="2:32">
      <c r="B30" s="237"/>
      <c r="D30" s="187" t="s">
        <v>34</v>
      </c>
      <c r="E30" s="188"/>
      <c r="F30" s="188"/>
      <c r="G30" s="188"/>
      <c r="H30" s="188"/>
      <c r="J30" s="252" t="s">
        <v>35</v>
      </c>
      <c r="K30" s="5"/>
    </row>
    <row r="31" spans="2:32">
      <c r="B31" s="237"/>
      <c r="D31" s="187" t="s">
        <v>36</v>
      </c>
      <c r="E31" s="188"/>
      <c r="F31" s="188"/>
      <c r="G31" s="188"/>
      <c r="H31" s="188"/>
      <c r="J31" s="189" t="s">
        <v>37</v>
      </c>
      <c r="K31" s="5"/>
    </row>
    <row r="32" spans="2:32">
      <c r="B32" s="237"/>
      <c r="D32" s="187" t="s">
        <v>38</v>
      </c>
      <c r="E32" s="188"/>
      <c r="F32" s="188"/>
      <c r="G32" s="188"/>
      <c r="H32" s="188"/>
      <c r="J32" s="190" t="s">
        <v>39</v>
      </c>
      <c r="K32" s="5"/>
    </row>
    <row r="33" spans="2:32">
      <c r="B33" s="237"/>
      <c r="D33" s="191" t="s">
        <v>40</v>
      </c>
      <c r="E33" s="96"/>
      <c r="F33" s="96"/>
      <c r="G33" s="96"/>
      <c r="H33" s="96"/>
      <c r="I33" s="17"/>
      <c r="J33" s="192" t="s">
        <v>41</v>
      </c>
      <c r="K33" s="5"/>
    </row>
    <row r="34" spans="2:32">
      <c r="B34" s="236"/>
      <c r="D34" s="4"/>
      <c r="E34" s="4"/>
      <c r="F34" s="4"/>
      <c r="G34" s="4"/>
      <c r="H34" s="160"/>
      <c r="I34" s="160"/>
      <c r="J34" s="160"/>
      <c r="K34" s="27"/>
      <c r="L34" s="27"/>
      <c r="M34" s="27"/>
      <c r="N34" s="27"/>
      <c r="O34" s="27"/>
      <c r="P34" s="27"/>
      <c r="Q34" s="22"/>
      <c r="R34" s="22"/>
      <c r="S34" s="22"/>
      <c r="T34" s="22"/>
      <c r="U34" s="22"/>
      <c r="V34" s="22"/>
      <c r="W34" s="22"/>
      <c r="X34" s="22"/>
      <c r="Y34" s="22"/>
      <c r="Z34" s="22"/>
      <c r="AA34" s="22"/>
      <c r="AB34" s="22"/>
      <c r="AC34" s="22"/>
      <c r="AD34" s="22"/>
      <c r="AE34" s="22"/>
      <c r="AF34" s="22"/>
    </row>
    <row r="35" spans="2:32" ht="16" customHeight="1">
      <c r="B35" s="236"/>
    </row>
    <row r="36" spans="2:32" ht="16" customHeight="1">
      <c r="B36" s="236"/>
    </row>
    <row r="37" spans="2:32" ht="16" customHeight="1">
      <c r="B37" s="236"/>
    </row>
    <row r="38" spans="2:32" ht="16" customHeight="1">
      <c r="B38" s="236"/>
    </row>
    <row r="39" spans="2:32">
      <c r="H39" s="27"/>
      <c r="I39" s="27"/>
      <c r="J39" s="27"/>
      <c r="K39" s="27"/>
    </row>
    <row r="47" spans="2:32">
      <c r="L47" s="27"/>
      <c r="M47" s="27"/>
    </row>
    <row r="49" spans="2:13">
      <c r="H49" s="89"/>
      <c r="I49" s="89"/>
      <c r="J49" s="89"/>
      <c r="K49" s="89"/>
    </row>
    <row r="50" spans="2:13">
      <c r="H50" s="89"/>
      <c r="I50" s="304"/>
      <c r="J50" s="304"/>
      <c r="K50" s="304"/>
    </row>
    <row r="51" spans="2:13">
      <c r="B51" s="236"/>
      <c r="H51" s="89"/>
      <c r="I51" s="89"/>
      <c r="J51" s="89"/>
      <c r="K51" s="89"/>
    </row>
    <row r="52" spans="2:13">
      <c r="B52" s="236"/>
      <c r="H52" s="89"/>
      <c r="I52" s="89"/>
      <c r="J52" s="89"/>
      <c r="K52" s="89"/>
    </row>
    <row r="53" spans="2:13">
      <c r="B53" s="236"/>
      <c r="H53" s="89"/>
      <c r="I53" s="89"/>
      <c r="J53" s="89"/>
      <c r="K53" s="89"/>
      <c r="L53" s="27"/>
      <c r="M53" s="27"/>
    </row>
    <row r="54" spans="2:13">
      <c r="B54" s="236"/>
      <c r="H54" s="89"/>
      <c r="I54" s="305"/>
      <c r="J54" s="305"/>
      <c r="K54" s="305"/>
    </row>
    <row r="55" spans="2:13">
      <c r="B55" s="236"/>
      <c r="H55" s="89"/>
      <c r="I55" s="89"/>
      <c r="J55" s="89"/>
      <c r="K55" s="89"/>
    </row>
    <row r="56" spans="2:13">
      <c r="B56" s="236"/>
      <c r="H56" s="89"/>
      <c r="I56" s="89"/>
      <c r="J56" s="89"/>
      <c r="K56" s="89"/>
    </row>
    <row r="57" spans="2:13">
      <c r="B57" s="236"/>
      <c r="H57" s="89"/>
      <c r="I57" s="89"/>
      <c r="J57" s="89"/>
      <c r="K57" s="89"/>
      <c r="L57" s="89"/>
    </row>
    <row r="58" spans="2:13">
      <c r="B58" s="236"/>
      <c r="H58" s="89"/>
      <c r="I58" s="305"/>
      <c r="J58" s="305"/>
      <c r="K58" s="305"/>
      <c r="L58" s="306"/>
      <c r="M58" s="27"/>
    </row>
    <row r="59" spans="2:13">
      <c r="B59" s="236"/>
      <c r="G59" s="89"/>
      <c r="H59" s="89"/>
      <c r="I59" s="89"/>
      <c r="J59" s="89"/>
      <c r="K59" s="89"/>
      <c r="L59" s="89"/>
      <c r="M59" s="89"/>
    </row>
    <row r="60" spans="2:13">
      <c r="B60" s="236"/>
      <c r="G60" s="89"/>
      <c r="H60" s="89"/>
      <c r="I60" s="89"/>
      <c r="J60" s="89"/>
      <c r="K60" s="89"/>
      <c r="L60" s="89"/>
      <c r="M60" s="89"/>
    </row>
    <row r="61" spans="2:13">
      <c r="B61" s="236"/>
      <c r="G61" s="89"/>
      <c r="H61" s="89"/>
      <c r="I61" s="89"/>
      <c r="J61" s="89"/>
      <c r="K61" s="89"/>
      <c r="L61" s="89"/>
      <c r="M61" s="89"/>
    </row>
    <row r="62" spans="2:13">
      <c r="B62" s="236"/>
      <c r="G62" s="89"/>
      <c r="H62" s="89"/>
      <c r="I62" s="305"/>
      <c r="J62" s="305"/>
      <c r="K62" s="305"/>
      <c r="L62" s="89"/>
      <c r="M62" s="89"/>
    </row>
    <row r="63" spans="2:13">
      <c r="B63" s="236"/>
      <c r="G63" s="89"/>
      <c r="H63" s="89"/>
      <c r="I63" s="89"/>
      <c r="J63" s="89"/>
      <c r="K63" s="89"/>
      <c r="L63" s="89"/>
      <c r="M63" s="89"/>
    </row>
    <row r="64" spans="2:13">
      <c r="B64" s="236"/>
      <c r="G64" s="89"/>
      <c r="H64" s="89"/>
      <c r="I64" s="89"/>
      <c r="J64" s="89"/>
      <c r="K64" s="89"/>
      <c r="L64" s="89"/>
      <c r="M64" s="89"/>
    </row>
    <row r="65" spans="2:13">
      <c r="B65" s="236"/>
      <c r="G65" s="89"/>
      <c r="H65" s="89"/>
      <c r="I65" s="89"/>
      <c r="J65" s="89"/>
      <c r="K65" s="89"/>
      <c r="L65" s="89"/>
      <c r="M65" s="89"/>
    </row>
    <row r="66" spans="2:13">
      <c r="B66" s="236"/>
      <c r="G66" s="89"/>
      <c r="H66" s="89"/>
      <c r="I66" s="89"/>
      <c r="J66" s="89"/>
      <c r="K66" s="89"/>
      <c r="L66" s="89"/>
      <c r="M66" s="89"/>
    </row>
    <row r="67" spans="2:13">
      <c r="B67" s="236"/>
      <c r="G67" s="89"/>
      <c r="H67" s="89"/>
      <c r="I67" s="89"/>
      <c r="J67" s="89"/>
      <c r="K67" s="89"/>
      <c r="L67" s="89"/>
      <c r="M67" s="89"/>
    </row>
    <row r="68" spans="2:13">
      <c r="B68" s="236"/>
      <c r="G68" s="89"/>
      <c r="H68" s="89"/>
      <c r="I68" s="305"/>
      <c r="J68" s="305"/>
      <c r="K68" s="305"/>
      <c r="L68" s="89"/>
      <c r="M68" s="89"/>
    </row>
    <row r="69" spans="2:13">
      <c r="B69" s="236"/>
      <c r="G69" s="89"/>
      <c r="H69" s="89"/>
      <c r="I69" s="89"/>
      <c r="J69" s="89"/>
      <c r="K69" s="89"/>
      <c r="L69" s="89"/>
      <c r="M69" s="89"/>
    </row>
    <row r="70" spans="2:13">
      <c r="B70" s="236"/>
      <c r="G70" s="89"/>
      <c r="H70" s="89"/>
      <c r="I70" s="89"/>
      <c r="J70" s="89"/>
      <c r="K70" s="89"/>
      <c r="L70" s="89"/>
      <c r="M70" s="89"/>
    </row>
    <row r="71" spans="2:13">
      <c r="B71" s="236"/>
      <c r="G71" s="89"/>
      <c r="H71" s="89"/>
      <c r="I71" s="89"/>
      <c r="J71" s="89"/>
      <c r="K71" s="89"/>
      <c r="L71" s="89"/>
      <c r="M71" s="89"/>
    </row>
    <row r="72" spans="2:13">
      <c r="B72" s="236"/>
      <c r="G72" s="89"/>
      <c r="H72" s="89"/>
      <c r="I72" s="89"/>
      <c r="J72" s="89"/>
      <c r="K72" s="89"/>
      <c r="L72" s="89"/>
      <c r="M72" s="89"/>
    </row>
    <row r="73" spans="2:13">
      <c r="B73" s="236"/>
      <c r="G73" s="89"/>
      <c r="H73" s="89"/>
      <c r="I73" s="305"/>
      <c r="J73" s="305"/>
      <c r="K73" s="305"/>
      <c r="L73" s="89"/>
      <c r="M73" s="89"/>
    </row>
    <row r="74" spans="2:13" ht="85" customHeight="1">
      <c r="B74" s="236"/>
      <c r="G74" s="89"/>
      <c r="H74" s="89"/>
      <c r="I74" s="89"/>
      <c r="J74" s="89"/>
      <c r="K74" s="89"/>
      <c r="L74" s="89"/>
      <c r="M74" s="89"/>
    </row>
    <row r="75" spans="2:13">
      <c r="B75" s="236"/>
    </row>
    <row r="76" spans="2:13">
      <c r="B76" s="236"/>
      <c r="I76" s="89"/>
      <c r="J76" s="89"/>
    </row>
    <row r="77" spans="2:13">
      <c r="B77" s="236"/>
      <c r="I77" s="89"/>
      <c r="J77" s="89"/>
    </row>
    <row r="78" spans="2:13">
      <c r="I78" s="89"/>
      <c r="J78" s="89"/>
    </row>
    <row r="79" spans="2:13">
      <c r="I79" s="307"/>
      <c r="J79" s="89"/>
    </row>
    <row r="80" spans="2:13">
      <c r="I80" s="89"/>
      <c r="J80" s="89"/>
    </row>
    <row r="81" spans="9:10">
      <c r="I81" s="89"/>
      <c r="J81" s="89"/>
    </row>
    <row r="82" spans="9:10">
      <c r="I82" s="89"/>
      <c r="J82" s="89"/>
    </row>
    <row r="83" spans="9:10">
      <c r="I83" s="89"/>
      <c r="J83" s="89"/>
    </row>
  </sheetData>
  <mergeCells count="21">
    <mergeCell ref="D2:K2"/>
    <mergeCell ref="B19:B22"/>
    <mergeCell ref="B24:B25"/>
    <mergeCell ref="B16:B17"/>
    <mergeCell ref="B7:B8"/>
    <mergeCell ref="D4:K4"/>
    <mergeCell ref="D6:K6"/>
    <mergeCell ref="B10:B11"/>
    <mergeCell ref="B13:B14"/>
    <mergeCell ref="B4:B5"/>
    <mergeCell ref="D29:J29"/>
    <mergeCell ref="E20:F20"/>
    <mergeCell ref="G20:H20"/>
    <mergeCell ref="E21:F21"/>
    <mergeCell ref="E22:F22"/>
    <mergeCell ref="E23:F23"/>
    <mergeCell ref="E24:F24"/>
    <mergeCell ref="G21:H21"/>
    <mergeCell ref="G22:H22"/>
    <mergeCell ref="G23:H23"/>
    <mergeCell ref="G24:H24"/>
  </mergeCells>
  <phoneticPr fontId="11" type="noConversion"/>
  <dataValidations count="1">
    <dataValidation type="list" allowBlank="1" showInputMessage="1" showErrorMessage="1" sqref="J33" xr:uid="{A080ECC0-D044-2842-8EBA-9EEB651EE02E}">
      <formula1>$J$53</formula1>
    </dataValidation>
  </dataValidations>
  <hyperlinks>
    <hyperlink ref="B4" location="Overview!A1" display="Overview" xr:uid="{D67C5FE6-CBBF-B740-9215-0739D4B1D9AA}"/>
    <hyperlink ref="B10" location="Inputs!A1" display="Inputs" xr:uid="{AEF44B26-06C8-6246-A3DA-11147C80265E}"/>
    <hyperlink ref="B13" location="Model!A1" display="Model" xr:uid="{C940B611-CC47-064C-BED7-961DF9A90F74}"/>
    <hyperlink ref="B16" location="Results!A1" display="Results" xr:uid="{50231ADC-7883-0A4A-BE3A-508CEB9AECCF}"/>
    <hyperlink ref="B19" location="OWSA!A1" display="One-Way Sensitivity Analysis" xr:uid="{80EFF3A6-4373-7D4A-9123-A38C70CC18C1}"/>
    <hyperlink ref="B7" location="Inputs!A1" display="Inputs" xr:uid="{3BBEC381-BD92-284B-A40F-03B8E3CBFB20}"/>
    <hyperlink ref="B7:B8" location="Setting!A1" display="Setting" xr:uid="{4D4F87C6-1498-994F-BF51-8AA646971BCC}"/>
    <hyperlink ref="B10:B11" location="'Model Inputs'!A1" display="Model Inputs" xr:uid="{9E9F6DFE-4AC4-6746-A5BC-D7BA06F2DE9F}"/>
    <hyperlink ref="B13:B14" location="Model!A1" display="Model" xr:uid="{A0393114-7302-8A4E-98B8-2980AC4CA249}"/>
    <hyperlink ref="B24" location="Overview!A1" display="Overview" xr:uid="{BD9AE885-DF3E-134A-B7F2-B68AE2796C73}"/>
    <hyperlink ref="B24:B25" location="Appendix!A1" display="Appendix" xr:uid="{49016614-FE4E-4B43-9B26-4DEB5F9D8EA2}"/>
  </hyperlink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20984-3210-5948-9E7C-C32893C72651}">
  <sheetPr codeName="Sheet6"/>
  <dimension ref="A2:U77"/>
  <sheetViews>
    <sheetView topLeftCell="B1" zoomScaleNormal="90" workbookViewId="0">
      <selection activeCell="D26" sqref="D26"/>
    </sheetView>
  </sheetViews>
  <sheetFormatPr defaultColWidth="10.83203125" defaultRowHeight="18.5"/>
  <cols>
    <col min="1" max="1" width="10.83203125" style="3"/>
    <col min="2" max="2" width="18.5" style="226" customWidth="1"/>
    <col min="3" max="3" width="2.83203125" style="3" customWidth="1"/>
    <col min="4" max="4" width="71.83203125" style="199" customWidth="1"/>
    <col min="5" max="5" width="83" style="3" customWidth="1"/>
    <col min="6" max="6" width="17.83203125" style="3" customWidth="1"/>
    <col min="7" max="7" width="17.5" style="3" customWidth="1"/>
    <col min="8" max="8" width="17.83203125" style="3" customWidth="1"/>
    <col min="9" max="9" width="12" style="3" customWidth="1"/>
    <col min="10" max="10" width="24.83203125" style="3" customWidth="1"/>
    <col min="11" max="11" width="15.83203125" style="3" customWidth="1"/>
    <col min="12" max="12" width="18.5" style="3" customWidth="1"/>
    <col min="13" max="13" width="10.83203125" style="3"/>
    <col min="14" max="14" width="13.83203125" style="3" customWidth="1"/>
    <col min="15" max="15" width="17" style="3" customWidth="1"/>
    <col min="16" max="16" width="10.83203125" style="3"/>
    <col min="17" max="17" width="20" style="3" customWidth="1"/>
    <col min="18" max="16384" width="10.83203125" style="3"/>
  </cols>
  <sheetData>
    <row r="2" spans="1:11" s="308" customFormat="1" ht="28" customHeight="1">
      <c r="B2" s="243"/>
      <c r="D2" s="554" t="s">
        <v>0</v>
      </c>
      <c r="E2" s="555"/>
      <c r="F2" s="309"/>
      <c r="G2" s="309"/>
      <c r="H2" s="309"/>
      <c r="I2" s="309"/>
      <c r="J2" s="309"/>
      <c r="K2" s="310"/>
    </row>
    <row r="3" spans="1:11" ht="5.25" customHeight="1">
      <c r="B3" s="193"/>
      <c r="D3" s="194"/>
      <c r="E3" s="195"/>
    </row>
    <row r="4" spans="1:11" ht="15" customHeight="1">
      <c r="A4" s="196"/>
      <c r="B4" s="560" t="s">
        <v>1</v>
      </c>
      <c r="C4" s="197"/>
      <c r="D4" s="198"/>
      <c r="F4" s="199"/>
      <c r="G4" s="199"/>
    </row>
    <row r="5" spans="1:11" ht="18" customHeight="1">
      <c r="A5" s="196"/>
      <c r="B5" s="561"/>
      <c r="C5" s="197"/>
      <c r="D5" s="194"/>
      <c r="E5" s="195"/>
      <c r="F5" s="199"/>
      <c r="G5" s="199"/>
    </row>
    <row r="6" spans="1:11">
      <c r="A6" s="196"/>
      <c r="B6" s="200"/>
      <c r="C6" s="197"/>
      <c r="D6" s="113" t="s">
        <v>42</v>
      </c>
      <c r="E6" s="274" t="s">
        <v>660</v>
      </c>
      <c r="F6" s="199"/>
      <c r="G6" s="199"/>
    </row>
    <row r="7" spans="1:11" ht="17.25" customHeight="1">
      <c r="A7" s="196"/>
      <c r="B7" s="562" t="s">
        <v>5</v>
      </c>
      <c r="C7" s="201"/>
      <c r="D7" s="113" t="s">
        <v>43</v>
      </c>
      <c r="E7" s="274" t="s">
        <v>661</v>
      </c>
      <c r="F7" s="199"/>
    </row>
    <row r="8" spans="1:11">
      <c r="A8" s="196"/>
      <c r="B8" s="563"/>
      <c r="C8" s="201"/>
      <c r="D8" s="113" t="s">
        <v>44</v>
      </c>
      <c r="E8" s="114" t="str">
        <f>_xlfn.CONCAT("Annual Cohort Eligible to receive ",E6," for ",E7)</f>
        <v>Annual Cohort Eligible to receive amoxycillin for pnemonia in children &lt;5 years old</v>
      </c>
      <c r="F8" s="199"/>
      <c r="G8" s="199"/>
    </row>
    <row r="9" spans="1:11">
      <c r="B9" s="202"/>
      <c r="C9" s="196"/>
      <c r="D9" s="115" t="s">
        <v>45</v>
      </c>
      <c r="E9" s="114" t="str">
        <f>_xlfn.CONCAT("Substandard and Falsified ",E6)</f>
        <v>Substandard and Falsified amoxycillin</v>
      </c>
      <c r="F9" s="199"/>
      <c r="G9" s="199"/>
    </row>
    <row r="10" spans="1:11" ht="17.25" customHeight="1">
      <c r="B10" s="540" t="s">
        <v>8</v>
      </c>
      <c r="C10" s="203"/>
      <c r="D10" s="115" t="s">
        <v>46</v>
      </c>
      <c r="E10" s="114" t="str">
        <f>_xlfn.CONCAT("Standard Quality Medicines ",E6)</f>
        <v>Standard Quality Medicines amoxycillin</v>
      </c>
      <c r="F10" s="199"/>
      <c r="G10" s="199"/>
    </row>
    <row r="11" spans="1:11">
      <c r="B11" s="542"/>
      <c r="C11" s="196"/>
      <c r="D11" s="204"/>
      <c r="E11" s="205"/>
      <c r="F11" s="199"/>
      <c r="G11" s="199"/>
    </row>
    <row r="12" spans="1:11">
      <c r="B12" s="206"/>
      <c r="C12" s="196"/>
      <c r="D12" s="564" t="s">
        <v>47</v>
      </c>
      <c r="E12" s="277" t="s">
        <v>48</v>
      </c>
      <c r="F12" s="207"/>
      <c r="G12" s="199"/>
    </row>
    <row r="13" spans="1:11" ht="17.25" customHeight="1">
      <c r="B13" s="540" t="s">
        <v>12</v>
      </c>
      <c r="C13" s="196"/>
      <c r="D13" s="564"/>
      <c r="E13" s="277" t="s">
        <v>49</v>
      </c>
      <c r="F13" s="199"/>
      <c r="G13" s="199"/>
    </row>
    <row r="14" spans="1:11">
      <c r="B14" s="542"/>
      <c r="C14" s="196"/>
      <c r="D14" s="564"/>
      <c r="E14" s="277" t="s">
        <v>50</v>
      </c>
      <c r="F14" s="199"/>
      <c r="G14" s="199"/>
    </row>
    <row r="15" spans="1:11">
      <c r="B15" s="206"/>
      <c r="C15" s="196"/>
      <c r="D15" s="564"/>
      <c r="E15" s="277" t="s">
        <v>51</v>
      </c>
      <c r="F15" s="199"/>
      <c r="G15" s="199"/>
    </row>
    <row r="16" spans="1:11" ht="17.25" customHeight="1">
      <c r="B16" s="540" t="s">
        <v>15</v>
      </c>
      <c r="C16" s="196"/>
      <c r="D16" s="564"/>
      <c r="E16" s="278" t="s">
        <v>662</v>
      </c>
    </row>
    <row r="17" spans="1:14">
      <c r="B17" s="542"/>
      <c r="C17" s="196"/>
      <c r="D17" s="564"/>
      <c r="E17" s="278" t="s">
        <v>663</v>
      </c>
      <c r="F17" s="208"/>
      <c r="G17" s="208"/>
    </row>
    <row r="18" spans="1:14">
      <c r="B18" s="206"/>
      <c r="C18" s="195"/>
      <c r="D18" s="564"/>
      <c r="E18" s="278" t="s">
        <v>659</v>
      </c>
      <c r="F18" s="195"/>
      <c r="G18" s="195"/>
    </row>
    <row r="19" spans="1:14" ht="19" customHeight="1">
      <c r="B19" s="556" t="s">
        <v>18</v>
      </c>
      <c r="C19" s="209"/>
      <c r="D19" s="564"/>
      <c r="E19" s="278" t="s">
        <v>52</v>
      </c>
      <c r="F19" s="209"/>
      <c r="G19" s="209"/>
      <c r="H19" s="194"/>
      <c r="I19" s="195"/>
      <c r="J19" s="195"/>
      <c r="K19" s="195"/>
      <c r="L19" s="194"/>
      <c r="M19" s="195"/>
    </row>
    <row r="20" spans="1:14" ht="16" customHeight="1">
      <c r="B20" s="557"/>
      <c r="D20" s="210"/>
      <c r="E20" s="211"/>
      <c r="F20" s="212"/>
      <c r="G20" s="209"/>
      <c r="H20" s="209"/>
      <c r="I20" s="213"/>
      <c r="J20" s="213"/>
      <c r="K20" s="213"/>
      <c r="L20" s="209"/>
      <c r="M20" s="209"/>
      <c r="N20" s="199"/>
    </row>
    <row r="21" spans="1:14">
      <c r="A21" s="196"/>
      <c r="B21" s="557"/>
      <c r="D21" s="215" t="s">
        <v>53</v>
      </c>
      <c r="E21" s="277" t="s">
        <v>54</v>
      </c>
      <c r="F21" s="216"/>
      <c r="G21" s="209"/>
      <c r="H21" s="565"/>
      <c r="I21" s="565"/>
      <c r="J21" s="565"/>
      <c r="K21" s="565"/>
      <c r="L21" s="209"/>
      <c r="M21" s="209"/>
      <c r="N21" s="199"/>
    </row>
    <row r="22" spans="1:14">
      <c r="A22" s="196"/>
      <c r="B22" s="558"/>
      <c r="D22" s="217" t="s">
        <v>5</v>
      </c>
      <c r="E22" s="275"/>
      <c r="F22" s="218"/>
      <c r="G22" s="209"/>
      <c r="H22" s="553"/>
      <c r="I22" s="553"/>
      <c r="J22" s="553"/>
      <c r="K22" s="553"/>
      <c r="L22" s="219"/>
      <c r="M22" s="209"/>
      <c r="N22" s="199"/>
    </row>
    <row r="23" spans="1:14">
      <c r="A23" s="196"/>
      <c r="B23" s="214"/>
      <c r="D23" s="209"/>
      <c r="E23" s="209"/>
      <c r="F23" s="218"/>
      <c r="G23" s="209"/>
      <c r="H23" s="553"/>
      <c r="I23" s="553"/>
      <c r="J23" s="553"/>
      <c r="K23" s="553"/>
      <c r="L23" s="219"/>
      <c r="M23" s="209"/>
      <c r="N23" s="199"/>
    </row>
    <row r="24" spans="1:14">
      <c r="B24" s="543" t="s">
        <v>29</v>
      </c>
      <c r="D24" s="201" t="s">
        <v>56</v>
      </c>
      <c r="E24" s="275" t="s">
        <v>398</v>
      </c>
      <c r="F24" s="216"/>
      <c r="G24" s="209"/>
      <c r="H24" s="553"/>
      <c r="I24" s="553"/>
      <c r="J24" s="553"/>
      <c r="K24" s="553"/>
      <c r="L24" s="219"/>
      <c r="M24" s="209"/>
      <c r="N24" s="199"/>
    </row>
    <row r="25" spans="1:14">
      <c r="A25" s="196"/>
      <c r="B25" s="544"/>
      <c r="D25" s="201" t="s">
        <v>58</v>
      </c>
      <c r="E25" s="276" t="s">
        <v>59</v>
      </c>
      <c r="F25" s="218"/>
      <c r="G25" s="209"/>
      <c r="H25" s="209"/>
      <c r="I25" s="209"/>
      <c r="J25" s="209"/>
      <c r="K25" s="209"/>
      <c r="L25" s="209"/>
      <c r="M25" s="209"/>
      <c r="N25" s="199"/>
    </row>
    <row r="26" spans="1:14">
      <c r="A26" s="196"/>
      <c r="B26" s="214"/>
      <c r="E26" s="220"/>
      <c r="F26" s="218"/>
      <c r="G26" s="209"/>
      <c r="H26" s="221"/>
      <c r="I26" s="221"/>
      <c r="J26" s="221"/>
      <c r="K26" s="221"/>
      <c r="L26" s="209"/>
      <c r="M26" s="209"/>
      <c r="N26" s="199"/>
    </row>
    <row r="27" spans="1:14">
      <c r="A27" s="196"/>
      <c r="B27" s="214"/>
      <c r="F27" s="218"/>
      <c r="G27" s="209"/>
      <c r="H27" s="209"/>
      <c r="I27" s="209"/>
      <c r="J27" s="212"/>
      <c r="K27" s="222"/>
      <c r="L27" s="219"/>
      <c r="M27" s="209"/>
      <c r="N27" s="199"/>
    </row>
    <row r="28" spans="1:14">
      <c r="A28" s="196"/>
      <c r="B28" s="214"/>
      <c r="F28" s="218"/>
      <c r="G28" s="209"/>
      <c r="H28" s="209"/>
      <c r="I28" s="221"/>
      <c r="J28" s="216"/>
      <c r="K28" s="209"/>
      <c r="L28" s="209"/>
      <c r="M28" s="209"/>
      <c r="N28" s="199"/>
    </row>
    <row r="29" spans="1:14">
      <c r="B29" s="214"/>
      <c r="C29" s="209"/>
      <c r="F29" s="216"/>
      <c r="G29" s="209"/>
      <c r="H29" s="209"/>
      <c r="I29" s="209"/>
      <c r="J29" s="216"/>
      <c r="K29" s="222"/>
      <c r="L29" s="209"/>
      <c r="M29" s="209"/>
      <c r="N29" s="199"/>
    </row>
    <row r="30" spans="1:14">
      <c r="B30" s="214"/>
      <c r="C30" s="209"/>
      <c r="F30" s="216"/>
      <c r="G30" s="209"/>
      <c r="H30" s="209"/>
      <c r="I30" s="209"/>
      <c r="J30" s="216"/>
      <c r="K30" s="223"/>
      <c r="L30" s="219"/>
      <c r="M30" s="209"/>
      <c r="N30" s="199"/>
    </row>
    <row r="31" spans="1:14">
      <c r="A31" s="196"/>
      <c r="B31" s="214"/>
      <c r="C31" s="209"/>
      <c r="D31" s="224"/>
      <c r="E31" s="225"/>
      <c r="F31" s="216"/>
      <c r="G31" s="209"/>
      <c r="H31" s="209"/>
      <c r="I31" s="51"/>
      <c r="J31" s="216"/>
      <c r="K31" s="223"/>
      <c r="L31" s="209"/>
      <c r="M31" s="209"/>
      <c r="N31" s="199"/>
    </row>
    <row r="32" spans="1:14">
      <c r="A32" s="196"/>
      <c r="B32" s="214"/>
      <c r="C32" s="209"/>
      <c r="D32" s="209"/>
      <c r="E32" s="216"/>
      <c r="F32" s="216"/>
      <c r="G32" s="209"/>
      <c r="H32" s="209"/>
      <c r="I32" s="209"/>
      <c r="J32" s="218"/>
      <c r="K32" s="223"/>
      <c r="L32" s="209"/>
      <c r="M32" s="209"/>
      <c r="N32" s="199"/>
    </row>
    <row r="33" spans="1:21">
      <c r="A33" s="196"/>
      <c r="B33" s="214"/>
      <c r="C33" s="209"/>
      <c r="D33" s="221"/>
      <c r="E33" s="218"/>
      <c r="F33" s="216"/>
      <c r="G33" s="209"/>
      <c r="H33" s="209"/>
      <c r="I33" s="209"/>
      <c r="J33" s="218"/>
      <c r="K33" s="223"/>
      <c r="L33" s="209"/>
      <c r="M33" s="209"/>
      <c r="N33" s="199"/>
    </row>
    <row r="34" spans="1:21">
      <c r="A34" s="196"/>
      <c r="B34" s="206"/>
      <c r="C34" s="209"/>
      <c r="D34" s="221"/>
      <c r="E34" s="218"/>
      <c r="F34" s="216"/>
      <c r="G34" s="209"/>
      <c r="H34" s="209"/>
      <c r="I34" s="209"/>
      <c r="J34" s="218"/>
      <c r="K34" s="209"/>
      <c r="L34" s="209"/>
      <c r="M34" s="209"/>
      <c r="N34" s="199"/>
    </row>
    <row r="35" spans="1:21">
      <c r="B35" s="206"/>
      <c r="C35" s="209"/>
      <c r="D35" s="221"/>
      <c r="E35" s="218"/>
      <c r="F35" s="209"/>
      <c r="G35" s="209"/>
      <c r="H35" s="209"/>
      <c r="I35" s="209"/>
      <c r="J35" s="218"/>
      <c r="K35" s="220"/>
      <c r="L35" s="220"/>
      <c r="M35" s="220"/>
    </row>
    <row r="36" spans="1:21">
      <c r="B36" s="206"/>
      <c r="C36" s="209"/>
      <c r="D36" s="221"/>
      <c r="E36" s="218"/>
      <c r="F36" s="209"/>
      <c r="G36" s="209"/>
      <c r="H36" s="194"/>
      <c r="I36" s="195"/>
      <c r="J36" s="195"/>
      <c r="K36" s="195"/>
      <c r="L36" s="195"/>
      <c r="M36" s="195"/>
    </row>
    <row r="37" spans="1:21">
      <c r="B37" s="206"/>
      <c r="C37" s="209"/>
      <c r="D37" s="209"/>
      <c r="E37" s="209"/>
      <c r="F37" s="212"/>
      <c r="G37" s="212"/>
      <c r="H37" s="559"/>
      <c r="I37" s="559"/>
      <c r="J37" s="559"/>
      <c r="K37" s="221"/>
      <c r="L37" s="209"/>
      <c r="M37" s="209"/>
      <c r="N37" s="199"/>
    </row>
    <row r="38" spans="1:21">
      <c r="B38" s="206"/>
      <c r="C38" s="209"/>
      <c r="D38" s="209"/>
      <c r="E38" s="209"/>
      <c r="F38" s="213"/>
      <c r="G38" s="213"/>
      <c r="H38" s="213"/>
      <c r="I38" s="213"/>
      <c r="J38" s="213"/>
      <c r="K38" s="209"/>
      <c r="L38" s="209"/>
      <c r="M38" s="209"/>
      <c r="N38" s="199"/>
    </row>
    <row r="39" spans="1:21">
      <c r="C39" s="209"/>
      <c r="D39" s="221"/>
      <c r="E39" s="212"/>
      <c r="F39" s="227"/>
      <c r="G39" s="216"/>
      <c r="H39" s="216"/>
      <c r="I39" s="216"/>
      <c r="J39" s="216"/>
      <c r="K39" s="209"/>
      <c r="L39" s="209"/>
      <c r="M39" s="209"/>
      <c r="N39" s="199"/>
    </row>
    <row r="40" spans="1:21">
      <c r="C40" s="209"/>
      <c r="D40" s="209"/>
      <c r="E40" s="213"/>
      <c r="F40" s="227"/>
      <c r="G40" s="216"/>
      <c r="H40" s="216"/>
      <c r="I40" s="216"/>
      <c r="J40" s="216"/>
      <c r="K40" s="209"/>
      <c r="L40" s="209"/>
      <c r="M40" s="209"/>
      <c r="N40" s="199"/>
    </row>
    <row r="41" spans="1:21">
      <c r="C41" s="209"/>
      <c r="D41" s="221"/>
      <c r="E41" s="216"/>
      <c r="F41" s="227"/>
      <c r="G41" s="216"/>
      <c r="H41" s="216"/>
      <c r="I41" s="216"/>
      <c r="J41" s="216"/>
      <c r="K41" s="209"/>
      <c r="L41" s="209"/>
      <c r="M41" s="209"/>
      <c r="N41" s="199"/>
    </row>
    <row r="42" spans="1:21">
      <c r="C42" s="209"/>
      <c r="D42" s="221"/>
      <c r="E42" s="216"/>
      <c r="F42" s="228"/>
      <c r="G42" s="218"/>
      <c r="H42" s="216"/>
      <c r="I42" s="218"/>
      <c r="J42" s="218"/>
      <c r="K42" s="219"/>
      <c r="L42" s="209"/>
      <c r="M42" s="209"/>
      <c r="N42" s="199"/>
    </row>
    <row r="43" spans="1:21">
      <c r="C43" s="209"/>
      <c r="D43" s="221"/>
      <c r="E43" s="216"/>
      <c r="F43" s="227"/>
      <c r="G43" s="216"/>
      <c r="H43" s="216"/>
      <c r="I43" s="216"/>
      <c r="J43" s="216"/>
      <c r="K43" s="219"/>
      <c r="L43" s="209"/>
      <c r="M43" s="209"/>
      <c r="N43" s="199"/>
    </row>
    <row r="44" spans="1:21">
      <c r="C44" s="209"/>
      <c r="D44" s="221"/>
      <c r="E44" s="218"/>
      <c r="F44" s="227"/>
      <c r="G44" s="216"/>
      <c r="H44" s="216"/>
      <c r="I44" s="216"/>
      <c r="J44" s="216"/>
      <c r="K44" s="219"/>
      <c r="L44" s="209"/>
      <c r="M44" s="209"/>
      <c r="N44" s="199"/>
    </row>
    <row r="45" spans="1:21">
      <c r="C45" s="209"/>
      <c r="D45" s="221"/>
      <c r="E45" s="216"/>
      <c r="F45" s="227"/>
      <c r="G45" s="216"/>
      <c r="H45" s="216"/>
      <c r="I45" s="216"/>
      <c r="J45" s="216"/>
      <c r="K45" s="219"/>
      <c r="L45" s="209"/>
      <c r="M45" s="209"/>
      <c r="N45" s="199"/>
    </row>
    <row r="46" spans="1:21">
      <c r="C46" s="209"/>
      <c r="D46" s="221"/>
      <c r="E46" s="216"/>
      <c r="F46" s="227"/>
      <c r="G46" s="216"/>
      <c r="H46" s="216"/>
      <c r="I46" s="216"/>
      <c r="J46" s="216"/>
      <c r="K46" s="219"/>
      <c r="L46" s="209"/>
      <c r="M46" s="209"/>
      <c r="N46" s="199"/>
    </row>
    <row r="47" spans="1:21">
      <c r="C47" s="220"/>
      <c r="D47" s="221"/>
      <c r="E47" s="216"/>
      <c r="F47" s="205"/>
      <c r="G47" s="205"/>
      <c r="H47" s="205"/>
      <c r="I47" s="205"/>
      <c r="J47" s="205"/>
      <c r="K47" s="205"/>
      <c r="L47" s="205"/>
      <c r="M47" s="205"/>
      <c r="N47" s="195"/>
      <c r="O47" s="195"/>
      <c r="P47" s="195"/>
      <c r="Q47" s="195"/>
      <c r="R47" s="195"/>
      <c r="S47" s="195"/>
      <c r="T47" s="195"/>
    </row>
    <row r="48" spans="1:21">
      <c r="C48" s="229"/>
      <c r="D48" s="221"/>
      <c r="E48" s="216"/>
      <c r="F48" s="222"/>
      <c r="G48" s="222"/>
      <c r="H48" s="565"/>
      <c r="I48" s="565"/>
      <c r="J48" s="222"/>
      <c r="K48" s="209"/>
      <c r="L48" s="209"/>
      <c r="M48" s="209"/>
      <c r="N48" s="209"/>
      <c r="O48" s="209"/>
      <c r="P48" s="209"/>
      <c r="Q48" s="209"/>
      <c r="R48" s="209"/>
      <c r="S48" s="209"/>
      <c r="T48" s="209"/>
      <c r="U48" s="199"/>
    </row>
    <row r="49" spans="2:21">
      <c r="C49" s="209"/>
      <c r="D49" s="230"/>
      <c r="E49" s="205"/>
      <c r="F49" s="209"/>
      <c r="G49" s="209"/>
      <c r="H49" s="209"/>
      <c r="I49" s="209"/>
      <c r="J49" s="209"/>
      <c r="K49" s="209"/>
      <c r="L49" s="209"/>
      <c r="M49" s="209"/>
      <c r="N49" s="209"/>
      <c r="O49" s="209"/>
      <c r="P49" s="209"/>
      <c r="Q49" s="209"/>
      <c r="R49" s="209"/>
      <c r="S49" s="209"/>
      <c r="T49" s="209"/>
      <c r="U49" s="199"/>
    </row>
    <row r="50" spans="2:21">
      <c r="C50" s="209"/>
      <c r="D50" s="221"/>
      <c r="E50" s="222"/>
      <c r="F50" s="209"/>
      <c r="G50" s="209"/>
      <c r="H50" s="209"/>
      <c r="I50" s="209"/>
      <c r="J50" s="209"/>
      <c r="K50" s="559"/>
      <c r="L50" s="559"/>
      <c r="M50" s="559"/>
      <c r="N50" s="559"/>
      <c r="O50" s="559"/>
      <c r="P50" s="559"/>
      <c r="Q50" s="209"/>
      <c r="R50" s="209"/>
      <c r="S50" s="209"/>
      <c r="T50" s="209"/>
      <c r="U50" s="199"/>
    </row>
    <row r="51" spans="2:21">
      <c r="B51" s="206"/>
      <c r="C51" s="209"/>
      <c r="D51" s="221"/>
      <c r="E51" s="209"/>
      <c r="F51" s="213"/>
      <c r="G51" s="213"/>
      <c r="H51" s="209"/>
      <c r="I51" s="209"/>
      <c r="J51" s="209"/>
      <c r="K51" s="213"/>
      <c r="L51" s="213"/>
      <c r="M51" s="213"/>
      <c r="N51" s="213"/>
      <c r="O51" s="213"/>
      <c r="P51" s="213"/>
      <c r="Q51" s="209"/>
      <c r="R51" s="209"/>
      <c r="S51" s="209"/>
      <c r="T51" s="209"/>
      <c r="U51" s="199"/>
    </row>
    <row r="52" spans="2:21">
      <c r="B52" s="206"/>
      <c r="C52" s="209"/>
      <c r="D52" s="209"/>
      <c r="E52" s="209"/>
      <c r="F52" s="223"/>
      <c r="G52" s="213"/>
      <c r="H52" s="209"/>
      <c r="I52" s="221"/>
      <c r="J52" s="209"/>
      <c r="K52" s="216"/>
      <c r="L52" s="209"/>
      <c r="M52" s="209"/>
      <c r="N52" s="216"/>
      <c r="O52" s="209"/>
      <c r="P52" s="209"/>
      <c r="Q52" s="209"/>
      <c r="R52" s="209"/>
      <c r="S52" s="209"/>
      <c r="T52" s="209"/>
      <c r="U52" s="199"/>
    </row>
    <row r="53" spans="2:21">
      <c r="B53" s="206"/>
      <c r="C53" s="209"/>
      <c r="D53" s="221"/>
      <c r="E53" s="213"/>
      <c r="F53" s="223"/>
      <c r="G53" s="223"/>
      <c r="H53" s="209"/>
      <c r="I53" s="221"/>
      <c r="J53" s="209"/>
      <c r="K53" s="216"/>
      <c r="L53" s="209"/>
      <c r="M53" s="209"/>
      <c r="N53" s="216"/>
      <c r="O53" s="209"/>
      <c r="P53" s="209"/>
      <c r="Q53" s="209"/>
      <c r="R53" s="209"/>
      <c r="S53" s="209"/>
      <c r="T53" s="209"/>
      <c r="U53" s="199"/>
    </row>
    <row r="54" spans="2:21">
      <c r="B54" s="206"/>
      <c r="C54" s="209"/>
      <c r="D54" s="221"/>
      <c r="E54" s="223"/>
      <c r="F54" s="223"/>
      <c r="G54" s="223"/>
      <c r="H54" s="209"/>
      <c r="I54" s="221"/>
      <c r="J54" s="209"/>
      <c r="K54" s="216"/>
      <c r="L54" s="209"/>
      <c r="M54" s="209"/>
      <c r="N54" s="216"/>
      <c r="O54" s="209"/>
      <c r="P54" s="209"/>
      <c r="Q54" s="209"/>
      <c r="R54" s="209"/>
      <c r="S54" s="209"/>
      <c r="T54" s="209"/>
      <c r="U54" s="199"/>
    </row>
    <row r="55" spans="2:21">
      <c r="B55" s="206"/>
      <c r="C55" s="209"/>
      <c r="D55" s="221"/>
      <c r="E55" s="223"/>
      <c r="F55" s="223"/>
      <c r="G55" s="223"/>
      <c r="H55" s="209"/>
      <c r="I55" s="221"/>
      <c r="J55" s="209"/>
      <c r="K55" s="216"/>
      <c r="L55" s="209"/>
      <c r="M55" s="209"/>
      <c r="N55" s="216"/>
      <c r="O55" s="209"/>
      <c r="P55" s="209"/>
      <c r="Q55" s="209"/>
      <c r="R55" s="209"/>
      <c r="S55" s="209"/>
      <c r="T55" s="209"/>
      <c r="U55" s="199"/>
    </row>
    <row r="56" spans="2:21">
      <c r="B56" s="206"/>
      <c r="C56" s="209"/>
      <c r="D56" s="221"/>
      <c r="E56" s="223"/>
      <c r="F56" s="223"/>
      <c r="G56" s="223"/>
      <c r="H56" s="209"/>
      <c r="I56" s="209"/>
      <c r="J56" s="209"/>
      <c r="K56" s="209"/>
      <c r="L56" s="209"/>
      <c r="M56" s="209"/>
      <c r="N56" s="209"/>
      <c r="O56" s="209"/>
      <c r="P56" s="209"/>
      <c r="Q56" s="209"/>
      <c r="R56" s="209"/>
      <c r="S56" s="209"/>
      <c r="T56" s="209"/>
      <c r="U56" s="199"/>
    </row>
    <row r="57" spans="2:21">
      <c r="B57" s="206"/>
      <c r="C57" s="209"/>
      <c r="D57" s="221"/>
      <c r="E57" s="223"/>
      <c r="F57" s="209"/>
      <c r="G57" s="209"/>
      <c r="H57" s="209"/>
      <c r="I57" s="209"/>
      <c r="J57" s="209"/>
      <c r="K57" s="209"/>
      <c r="L57" s="209"/>
      <c r="M57" s="209"/>
      <c r="N57" s="209"/>
      <c r="O57" s="209"/>
      <c r="P57" s="209"/>
      <c r="Q57" s="209"/>
      <c r="R57" s="209"/>
      <c r="S57" s="209"/>
      <c r="T57" s="209"/>
      <c r="U57" s="199"/>
    </row>
    <row r="58" spans="2:21">
      <c r="B58" s="206"/>
      <c r="C58" s="209"/>
      <c r="D58" s="221"/>
      <c r="E58" s="223"/>
      <c r="F58" s="209"/>
      <c r="G58" s="209"/>
      <c r="H58" s="209"/>
      <c r="I58" s="209"/>
      <c r="J58" s="209"/>
      <c r="K58" s="209"/>
      <c r="L58" s="209"/>
      <c r="M58" s="209"/>
      <c r="N58" s="209"/>
      <c r="O58" s="209"/>
      <c r="P58" s="209"/>
      <c r="Q58" s="209"/>
      <c r="R58" s="209"/>
      <c r="S58" s="209"/>
      <c r="T58" s="209"/>
      <c r="U58" s="199"/>
    </row>
    <row r="59" spans="2:21">
      <c r="B59" s="206"/>
      <c r="C59" s="209"/>
      <c r="D59" s="221"/>
      <c r="E59" s="209"/>
      <c r="F59" s="209"/>
      <c r="G59" s="209"/>
      <c r="H59" s="209"/>
      <c r="I59" s="209"/>
      <c r="J59" s="209"/>
      <c r="K59" s="209"/>
      <c r="L59" s="209"/>
      <c r="M59" s="209"/>
      <c r="N59" s="209"/>
      <c r="O59" s="209"/>
      <c r="P59" s="209"/>
      <c r="Q59" s="209"/>
      <c r="R59" s="209"/>
      <c r="S59" s="209"/>
      <c r="T59" s="209"/>
      <c r="U59" s="199"/>
    </row>
    <row r="60" spans="2:21">
      <c r="B60" s="206"/>
      <c r="C60" s="209"/>
      <c r="D60" s="221"/>
      <c r="E60" s="209"/>
      <c r="F60" s="209"/>
      <c r="G60" s="209"/>
      <c r="H60" s="209"/>
      <c r="I60" s="209"/>
      <c r="J60" s="209"/>
      <c r="K60" s="209"/>
      <c r="L60" s="209"/>
      <c r="M60" s="209"/>
      <c r="N60" s="209"/>
      <c r="O60" s="209"/>
      <c r="P60" s="209"/>
      <c r="Q60" s="209"/>
      <c r="R60" s="209"/>
      <c r="S60" s="209"/>
      <c r="T60" s="209"/>
      <c r="U60" s="199"/>
    </row>
    <row r="61" spans="2:21" ht="16" customHeight="1">
      <c r="B61" s="206"/>
      <c r="C61" s="231"/>
      <c r="D61" s="221"/>
      <c r="E61" s="209"/>
      <c r="F61" s="209"/>
      <c r="G61" s="209"/>
      <c r="H61" s="209"/>
      <c r="I61" s="209"/>
      <c r="J61" s="209"/>
      <c r="K61" s="209"/>
      <c r="L61" s="209"/>
      <c r="M61" s="209"/>
      <c r="N61" s="209"/>
      <c r="O61" s="209"/>
      <c r="P61" s="209"/>
      <c r="Q61" s="209"/>
      <c r="R61" s="209"/>
      <c r="S61" s="209"/>
      <c r="T61" s="209"/>
      <c r="U61" s="199"/>
    </row>
    <row r="62" spans="2:21">
      <c r="B62" s="206"/>
      <c r="C62" s="196"/>
      <c r="D62" s="221"/>
      <c r="E62" s="209"/>
      <c r="F62" s="232"/>
      <c r="G62" s="232"/>
      <c r="H62" s="209"/>
      <c r="I62" s="209"/>
      <c r="J62" s="209"/>
      <c r="K62" s="209"/>
      <c r="L62" s="209"/>
      <c r="M62" s="209"/>
      <c r="N62" s="209"/>
      <c r="O62" s="209"/>
      <c r="P62" s="209"/>
      <c r="Q62" s="209"/>
      <c r="R62" s="209"/>
      <c r="S62" s="209"/>
      <c r="T62" s="209"/>
      <c r="U62" s="199"/>
    </row>
    <row r="63" spans="2:21">
      <c r="B63" s="206"/>
      <c r="C63" s="196"/>
      <c r="D63" s="209"/>
      <c r="E63" s="209"/>
      <c r="F63" s="209"/>
      <c r="G63" s="209"/>
      <c r="H63" s="209"/>
      <c r="I63" s="209"/>
      <c r="J63" s="209"/>
      <c r="K63" s="209"/>
      <c r="L63" s="209"/>
      <c r="M63" s="209"/>
      <c r="N63" s="209"/>
      <c r="O63" s="209"/>
      <c r="P63" s="209"/>
      <c r="Q63" s="209"/>
      <c r="R63" s="209"/>
      <c r="S63" s="209"/>
      <c r="T63" s="209"/>
      <c r="U63" s="199"/>
    </row>
    <row r="64" spans="2:21">
      <c r="B64" s="206"/>
      <c r="C64" s="196"/>
      <c r="D64" s="209"/>
      <c r="E64" s="232"/>
      <c r="F64" s="209"/>
      <c r="G64" s="209"/>
      <c r="H64" s="209"/>
      <c r="I64" s="209"/>
      <c r="J64" s="209"/>
      <c r="K64" s="209"/>
      <c r="L64" s="209"/>
      <c r="M64" s="209"/>
      <c r="N64" s="209"/>
      <c r="O64" s="209"/>
      <c r="P64" s="209"/>
      <c r="Q64" s="209"/>
      <c r="R64" s="209"/>
      <c r="S64" s="209"/>
      <c r="T64" s="209"/>
      <c r="U64" s="199"/>
    </row>
    <row r="65" spans="2:21">
      <c r="B65" s="206"/>
      <c r="C65" s="196"/>
      <c r="D65" s="209"/>
      <c r="E65" s="209"/>
      <c r="F65" s="209"/>
      <c r="G65" s="209"/>
      <c r="H65" s="209"/>
      <c r="I65" s="209"/>
      <c r="J65" s="209"/>
      <c r="K65" s="209"/>
      <c r="L65" s="209"/>
      <c r="M65" s="209"/>
      <c r="N65" s="209"/>
      <c r="O65" s="209"/>
      <c r="P65" s="209"/>
      <c r="Q65" s="209"/>
      <c r="R65" s="209"/>
      <c r="S65" s="209"/>
      <c r="T65" s="209"/>
      <c r="U65" s="199"/>
    </row>
    <row r="66" spans="2:21">
      <c r="B66" s="206"/>
      <c r="C66" s="196"/>
      <c r="D66" s="209"/>
      <c r="E66" s="209"/>
      <c r="F66" s="209"/>
      <c r="G66" s="209"/>
      <c r="H66" s="209"/>
      <c r="I66" s="209"/>
      <c r="J66" s="209"/>
      <c r="K66" s="209"/>
      <c r="L66" s="209"/>
      <c r="M66" s="209"/>
      <c r="N66" s="209"/>
      <c r="O66" s="209"/>
      <c r="P66" s="209"/>
      <c r="Q66" s="209"/>
      <c r="R66" s="209"/>
      <c r="S66" s="209"/>
      <c r="T66" s="209"/>
      <c r="U66" s="199"/>
    </row>
    <row r="67" spans="2:21">
      <c r="B67" s="206"/>
      <c r="C67" s="196"/>
      <c r="D67" s="209"/>
      <c r="E67" s="209"/>
      <c r="F67" s="209"/>
      <c r="G67" s="209"/>
      <c r="H67" s="209"/>
      <c r="I67" s="209"/>
      <c r="J67" s="209"/>
      <c r="K67" s="209"/>
      <c r="L67" s="209"/>
      <c r="M67" s="209"/>
      <c r="N67" s="209"/>
      <c r="O67" s="209"/>
      <c r="P67" s="209"/>
      <c r="Q67" s="209"/>
      <c r="R67" s="209"/>
      <c r="S67" s="209"/>
      <c r="T67" s="209"/>
      <c r="U67" s="199"/>
    </row>
    <row r="68" spans="2:21">
      <c r="B68" s="206"/>
      <c r="D68" s="209"/>
      <c r="E68" s="209"/>
      <c r="F68" s="220"/>
      <c r="G68" s="220"/>
      <c r="H68" s="220"/>
      <c r="I68" s="220"/>
      <c r="J68" s="220"/>
      <c r="K68" s="220"/>
      <c r="L68" s="220"/>
      <c r="M68" s="220"/>
      <c r="N68" s="220"/>
      <c r="O68" s="220"/>
      <c r="P68" s="220"/>
      <c r="Q68" s="220"/>
      <c r="R68" s="220"/>
      <c r="S68" s="220"/>
      <c r="T68" s="220"/>
    </row>
    <row r="69" spans="2:21">
      <c r="B69" s="206"/>
      <c r="D69" s="209"/>
      <c r="E69" s="209"/>
    </row>
    <row r="70" spans="2:21">
      <c r="B70" s="206"/>
      <c r="D70" s="210"/>
      <c r="E70" s="220"/>
    </row>
    <row r="71" spans="2:21">
      <c r="B71" s="206"/>
    </row>
    <row r="72" spans="2:21">
      <c r="B72" s="206"/>
    </row>
    <row r="73" spans="2:21">
      <c r="B73" s="206"/>
    </row>
    <row r="74" spans="2:21">
      <c r="B74" s="206"/>
    </row>
    <row r="75" spans="2:21">
      <c r="B75" s="206"/>
    </row>
    <row r="76" spans="2:21">
      <c r="B76" s="206"/>
    </row>
    <row r="77" spans="2:21">
      <c r="B77" s="206"/>
    </row>
  </sheetData>
  <mergeCells count="17">
    <mergeCell ref="N50:P50"/>
    <mergeCell ref="B4:B5"/>
    <mergeCell ref="B7:B8"/>
    <mergeCell ref="B10:B11"/>
    <mergeCell ref="B13:B14"/>
    <mergeCell ref="B16:B17"/>
    <mergeCell ref="D12:D19"/>
    <mergeCell ref="H37:J37"/>
    <mergeCell ref="H48:I48"/>
    <mergeCell ref="H24:K24"/>
    <mergeCell ref="H21:K21"/>
    <mergeCell ref="H22:K22"/>
    <mergeCell ref="H23:K23"/>
    <mergeCell ref="D2:E2"/>
    <mergeCell ref="B19:B22"/>
    <mergeCell ref="B24:B25"/>
    <mergeCell ref="K50:M50"/>
  </mergeCells>
  <hyperlinks>
    <hyperlink ref="B4" location="Overview!A1" display="Overview" xr:uid="{456E8E3C-4D59-7347-AE8C-57AC60311FB2}"/>
    <hyperlink ref="B10" location="Inputs!A1" display="Inputs" xr:uid="{487FF6D5-9144-E649-86FC-2984DFB324A9}"/>
    <hyperlink ref="B13" location="Model!A1" display="Model" xr:uid="{FB05DD11-A36B-C74B-AC8A-55F1FEE72989}"/>
    <hyperlink ref="B16" location="Results!A1" display="Results" xr:uid="{7B4A27F2-6D76-AF48-8E92-B728C48F42B9}"/>
    <hyperlink ref="B19" location="OWSA!A1" display="One-Way Sensitivity Analysis" xr:uid="{1689E7F2-06DD-9D4C-97C6-F25181A70637}"/>
    <hyperlink ref="B7" location="Inputs!A1" display="Inputs" xr:uid="{4EAC6CB9-EEB3-274A-BB2F-C4A5F35308B5}"/>
    <hyperlink ref="B4:B5" location="Overview!A1" display="Overview" xr:uid="{028B0786-760E-7A40-8D0E-54AFCFF4C91B}"/>
    <hyperlink ref="B10:B11" location="'Model Inputs'!A1" display="Model Inputs" xr:uid="{00B42D7D-C8CA-A344-AD55-6011D2B5A32E}"/>
    <hyperlink ref="B13:B14" location="Model!A1" display="Model" xr:uid="{CD547F7A-FF70-884E-89B4-D7C58DC0575B}"/>
    <hyperlink ref="B16:B17" location="Results!A1" display="Results" xr:uid="{C8BE8CC7-816D-9744-B8F7-154E7A5C0A35}"/>
    <hyperlink ref="B7:B8" location="Inputs!A1" display="Setting" xr:uid="{EAD0C170-77ED-724E-8820-759C07616322}"/>
    <hyperlink ref="B24" location="Overview!A1" display="Overview" xr:uid="{91CCAAB9-4A04-1645-BF24-74D6CDD7657F}"/>
    <hyperlink ref="B24:B25" location="Appendix!A1" display="Appendix" xr:uid="{9B90324F-19D4-F840-B109-ED29FE29E852}"/>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7A139278-8388-2747-8772-C31F64648058}">
          <x14:formula1>
            <xm:f>U_Lists!$A$2:$A$205</xm:f>
          </x14:formula1>
          <xm:sqref>E22</xm:sqref>
        </x14:dataValidation>
        <x14:dataValidation type="list" allowBlank="1" showInputMessage="1" showErrorMessage="1" xr:uid="{EF20B120-4ACC-ED4A-A82D-3763FCE2107D}">
          <x14:formula1>
            <xm:f>U_Lists!$B$2:$B$3</xm:f>
          </x14:formula1>
          <xm:sqref>E24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7C8B2-AE26-0F44-AB4D-5585086335DE}">
  <sheetPr codeName="Sheet1"/>
  <dimension ref="B1:W230"/>
  <sheetViews>
    <sheetView zoomScale="70" zoomScaleNormal="70" workbookViewId="0">
      <selection activeCell="E6" sqref="E6"/>
    </sheetView>
  </sheetViews>
  <sheetFormatPr defaultColWidth="10.83203125" defaultRowHeight="18.5"/>
  <cols>
    <col min="1" max="1" width="11" style="68" customWidth="1"/>
    <col min="2" max="2" width="18.5" style="243" customWidth="1"/>
    <col min="3" max="3" width="4.5" style="68" customWidth="1"/>
    <col min="4" max="4" width="4" style="357" customWidth="1"/>
    <col min="5" max="5" width="74.1640625" style="68" customWidth="1"/>
    <col min="6" max="6" width="16.5" style="68" hidden="1" customWidth="1"/>
    <col min="7" max="9" width="12.5" style="67" customWidth="1"/>
    <col min="10" max="10" width="15.5" style="67" customWidth="1"/>
    <col min="11" max="11" width="16.5" style="67" customWidth="1"/>
    <col min="12" max="12" width="11.5" style="126" customWidth="1"/>
    <col min="13" max="13" width="45.33203125" style="116" customWidth="1"/>
    <col min="14" max="14" width="75.6640625" style="371" customWidth="1"/>
    <col min="15" max="15" width="84.83203125" style="68" customWidth="1"/>
    <col min="16" max="16" width="16" style="68" bestFit="1" customWidth="1"/>
    <col min="17" max="17" width="18.33203125" style="68" customWidth="1"/>
    <col min="18" max="18" width="15" style="68" bestFit="1" customWidth="1"/>
    <col min="19" max="19" width="16" style="68" bestFit="1" customWidth="1"/>
    <col min="20" max="20" width="15" style="68" bestFit="1" customWidth="1"/>
    <col min="21" max="21" width="19.5" style="68" customWidth="1"/>
    <col min="22" max="22" width="17.5" style="68" customWidth="1"/>
    <col min="23" max="23" width="16" style="68" bestFit="1" customWidth="1"/>
    <col min="24" max="16384" width="10.83203125" style="68"/>
  </cols>
  <sheetData>
    <row r="1" spans="2:23" ht="28" customHeight="1">
      <c r="D1" s="566" t="s">
        <v>0</v>
      </c>
      <c r="E1" s="567"/>
      <c r="F1" s="567"/>
      <c r="G1" s="567"/>
      <c r="H1" s="567"/>
      <c r="I1" s="567"/>
      <c r="J1" s="567"/>
      <c r="K1" s="567"/>
      <c r="L1" s="567"/>
      <c r="M1" s="567"/>
      <c r="N1" s="567"/>
    </row>
    <row r="2" spans="2:23" s="67" customFormat="1" ht="16" customHeight="1">
      <c r="B2" s="238"/>
      <c r="C2" s="256">
        <f>MAX(D:D)</f>
        <v>153</v>
      </c>
      <c r="D2" s="355" t="s">
        <v>60</v>
      </c>
      <c r="L2" s="126"/>
      <c r="M2" s="116"/>
      <c r="N2" s="371"/>
    </row>
    <row r="3" spans="2:23" s="378" customFormat="1">
      <c r="B3" s="377"/>
      <c r="D3" s="356"/>
      <c r="E3" s="379" t="s">
        <v>61</v>
      </c>
      <c r="F3" s="354" t="s">
        <v>62</v>
      </c>
      <c r="G3" s="354" t="s">
        <v>63</v>
      </c>
      <c r="H3" s="354" t="s">
        <v>64</v>
      </c>
      <c r="I3" s="354" t="s">
        <v>65</v>
      </c>
      <c r="J3" s="354" t="s">
        <v>66</v>
      </c>
      <c r="K3" s="354"/>
      <c r="L3" s="258" t="s">
        <v>67</v>
      </c>
      <c r="M3" s="117" t="s">
        <v>68</v>
      </c>
      <c r="N3" s="287" t="s">
        <v>69</v>
      </c>
    </row>
    <row r="4" spans="2:23">
      <c r="B4" s="239"/>
      <c r="E4" s="70"/>
      <c r="J4" s="83" t="s">
        <v>70</v>
      </c>
      <c r="K4" s="83" t="s">
        <v>71</v>
      </c>
      <c r="N4" s="369"/>
      <c r="O4" s="69"/>
      <c r="P4" s="69"/>
      <c r="Q4" s="69"/>
      <c r="R4" s="69"/>
      <c r="S4" s="69"/>
      <c r="T4" s="69"/>
      <c r="U4" s="69"/>
      <c r="V4" s="69"/>
      <c r="W4" s="69"/>
    </row>
    <row r="5" spans="2:23" ht="17.25" customHeight="1">
      <c r="B5" s="568" t="s">
        <v>1</v>
      </c>
      <c r="D5" s="357">
        <f>IF(L5&lt;&gt;1,".",MAX(D$3:D4)+1)</f>
        <v>1</v>
      </c>
      <c r="E5" s="70" t="s">
        <v>72</v>
      </c>
      <c r="F5" s="68" t="s">
        <v>73</v>
      </c>
      <c r="G5" s="67">
        <f t="shared" ref="G5:G13" si="0">IF(owsa_low=D5,J5,IF(owsa_high=D5,K5,IF(ISNUMBER(H5),H5,I5)))</f>
        <v>1000000</v>
      </c>
      <c r="H5" s="464"/>
      <c r="I5" s="67">
        <v>1000000</v>
      </c>
      <c r="J5" s="463"/>
      <c r="K5" s="130"/>
      <c r="L5" s="126">
        <v>1</v>
      </c>
      <c r="M5" s="465" t="s">
        <v>703</v>
      </c>
      <c r="N5" s="369" t="s">
        <v>74</v>
      </c>
      <c r="O5" s="69"/>
      <c r="P5" s="69"/>
      <c r="Q5" s="69"/>
      <c r="R5" s="69"/>
      <c r="S5" s="69"/>
      <c r="T5" s="69"/>
      <c r="U5" s="69"/>
      <c r="V5" s="69"/>
      <c r="W5" s="69"/>
    </row>
    <row r="6" spans="2:23" ht="15.5">
      <c r="B6" s="568"/>
      <c r="D6" s="357">
        <f>IF(L6&lt;&gt;1,".",MAX(D$3:D5)+1)</f>
        <v>2</v>
      </c>
      <c r="E6" s="70" t="s">
        <v>715</v>
      </c>
      <c r="F6" s="68" t="s">
        <v>75</v>
      </c>
      <c r="G6" s="123">
        <f t="shared" si="0"/>
        <v>0.35</v>
      </c>
      <c r="H6" s="466">
        <v>0.35</v>
      </c>
      <c r="I6" s="123">
        <v>1</v>
      </c>
      <c r="J6" s="151"/>
      <c r="K6" s="133"/>
      <c r="L6" s="126">
        <v>1</v>
      </c>
      <c r="M6" s="516" t="s">
        <v>710</v>
      </c>
      <c r="N6" s="369"/>
      <c r="O6" s="69"/>
      <c r="P6" s="69"/>
      <c r="Q6" s="69"/>
      <c r="R6" s="69"/>
      <c r="S6" s="69"/>
      <c r="T6" s="69"/>
      <c r="U6" s="69"/>
      <c r="V6" s="69"/>
      <c r="W6" s="69"/>
    </row>
    <row r="7" spans="2:23">
      <c r="B7" s="240"/>
      <c r="D7" s="357">
        <f>IF(L7&lt;&gt;1,".",MAX(D$3:D6)+1)</f>
        <v>3</v>
      </c>
      <c r="E7" s="70" t="s">
        <v>76</v>
      </c>
      <c r="F7" s="68" t="s">
        <v>77</v>
      </c>
      <c r="G7" s="123">
        <f t="shared" si="0"/>
        <v>0.5</v>
      </c>
      <c r="H7" s="466"/>
      <c r="I7" s="123">
        <v>0.5</v>
      </c>
      <c r="J7" s="151"/>
      <c r="K7" s="133"/>
      <c r="L7" s="126">
        <v>1</v>
      </c>
      <c r="M7" s="469"/>
      <c r="N7" s="369" t="s">
        <v>78</v>
      </c>
      <c r="O7" s="69"/>
      <c r="P7" s="69"/>
      <c r="Q7" s="69"/>
      <c r="R7" s="69"/>
      <c r="S7" s="69"/>
      <c r="T7" s="69"/>
      <c r="U7" s="69"/>
      <c r="V7" s="69"/>
      <c r="W7" s="69"/>
    </row>
    <row r="8" spans="2:23" ht="15.5">
      <c r="B8" s="568" t="s">
        <v>5</v>
      </c>
      <c r="D8" s="357">
        <f>IF(L8&lt;&gt;1,".",MAX(D$3:D7)+1)</f>
        <v>4</v>
      </c>
      <c r="E8" s="70" t="s">
        <v>79</v>
      </c>
      <c r="F8" s="68" t="s">
        <v>80</v>
      </c>
      <c r="G8" s="123">
        <f t="shared" si="0"/>
        <v>0.5</v>
      </c>
      <c r="H8" s="466"/>
      <c r="I8" s="123">
        <v>0.5</v>
      </c>
      <c r="J8" s="151"/>
      <c r="K8" s="133"/>
      <c r="L8" s="126">
        <v>1</v>
      </c>
      <c r="M8" s="469"/>
      <c r="N8" s="360" t="s">
        <v>81</v>
      </c>
      <c r="O8" s="69"/>
      <c r="P8" s="69"/>
      <c r="Q8" s="69"/>
      <c r="R8" s="69"/>
      <c r="S8" s="69"/>
      <c r="T8" s="69"/>
      <c r="U8" s="69"/>
      <c r="V8" s="69"/>
      <c r="W8" s="69"/>
    </row>
    <row r="9" spans="2:23" ht="15.5">
      <c r="B9" s="568"/>
      <c r="D9" s="357">
        <f>IF(L9&lt;&gt;1,".",MAX(D$3:D8)+1)</f>
        <v>5</v>
      </c>
      <c r="E9" s="70" t="str">
        <f>_xlfn.CONCAT("Percentage of Population that receives care at ", Setting!E25)</f>
        <v>Percentage of Population that receives care at Other</v>
      </c>
      <c r="F9" s="68" t="s">
        <v>82</v>
      </c>
      <c r="G9" s="123">
        <f t="shared" si="0"/>
        <v>0</v>
      </c>
      <c r="H9" s="280"/>
      <c r="I9" s="123">
        <v>0</v>
      </c>
      <c r="J9" s="151"/>
      <c r="K9" s="133"/>
      <c r="L9" s="126">
        <v>1</v>
      </c>
      <c r="M9" s="469"/>
      <c r="N9" s="360" t="str">
        <f>_xlfn.CONCAT("Percentage of people who receive care in", Setting!E25, " sector facilities at a national level")</f>
        <v>Percentage of people who receive care inOther sector facilities at a national level</v>
      </c>
      <c r="O9" s="69"/>
      <c r="P9" s="69"/>
      <c r="Q9" s="69"/>
      <c r="R9" s="69"/>
      <c r="S9" s="69"/>
      <c r="T9" s="69"/>
      <c r="U9" s="69"/>
      <c r="V9" s="69"/>
      <c r="W9" s="69"/>
    </row>
    <row r="10" spans="2:23">
      <c r="B10" s="239"/>
      <c r="D10" s="357">
        <f>IF(L10&lt;&gt;1,".",MAX(D$3:D9)+1)</f>
        <v>6</v>
      </c>
      <c r="E10" s="70" t="s">
        <v>83</v>
      </c>
      <c r="F10" s="68" t="s">
        <v>84</v>
      </c>
      <c r="G10" s="123">
        <f t="shared" si="0"/>
        <v>0.5</v>
      </c>
      <c r="H10" s="280"/>
      <c r="I10" s="123">
        <v>0.5</v>
      </c>
      <c r="J10" s="151"/>
      <c r="K10" s="133"/>
      <c r="L10" s="126">
        <v>1</v>
      </c>
      <c r="N10" s="369" t="s">
        <v>85</v>
      </c>
      <c r="O10" s="69"/>
      <c r="P10" s="69"/>
      <c r="Q10" s="69"/>
      <c r="R10" s="69"/>
      <c r="S10" s="69"/>
      <c r="T10" s="69"/>
      <c r="U10" s="69"/>
      <c r="V10" s="69"/>
      <c r="W10" s="69"/>
    </row>
    <row r="11" spans="2:23" ht="17.25" customHeight="1">
      <c r="B11" s="572" t="s">
        <v>8</v>
      </c>
      <c r="D11" s="357">
        <f>IF(L11&lt;&gt;1,".",MAX(D$3:D10)+1)</f>
        <v>7</v>
      </c>
      <c r="E11" s="70" t="s">
        <v>86</v>
      </c>
      <c r="F11" s="68" t="s">
        <v>87</v>
      </c>
      <c r="G11" s="123">
        <f t="shared" si="0"/>
        <v>0.5</v>
      </c>
      <c r="H11" s="280"/>
      <c r="I11" s="123">
        <v>0.5</v>
      </c>
      <c r="J11" s="151"/>
      <c r="K11" s="133"/>
      <c r="L11" s="126">
        <v>1</v>
      </c>
      <c r="N11" s="369" t="s">
        <v>88</v>
      </c>
      <c r="O11" s="69"/>
      <c r="P11" s="69"/>
      <c r="Q11" s="69"/>
      <c r="R11" s="69"/>
      <c r="S11" s="69"/>
      <c r="T11" s="69"/>
      <c r="U11" s="69"/>
      <c r="V11" s="69"/>
      <c r="W11" s="69"/>
    </row>
    <row r="12" spans="2:23" ht="15.5">
      <c r="B12" s="572"/>
      <c r="D12" s="357">
        <f>IF(L12&lt;&gt;1,".",MAX(D$3:D11)+1)</f>
        <v>8</v>
      </c>
      <c r="E12" s="70" t="s">
        <v>89</v>
      </c>
      <c r="F12" s="68" t="s">
        <v>90</v>
      </c>
      <c r="G12" s="123">
        <f t="shared" si="0"/>
        <v>0.33333333333333331</v>
      </c>
      <c r="H12" s="280"/>
      <c r="I12" s="123">
        <f>1/3</f>
        <v>0.33333333333333331</v>
      </c>
      <c r="J12" s="151"/>
      <c r="K12" s="133"/>
      <c r="L12" s="126">
        <v>1</v>
      </c>
      <c r="N12" s="369" t="s">
        <v>91</v>
      </c>
      <c r="O12" s="69"/>
      <c r="P12" s="69"/>
      <c r="Q12" s="69"/>
      <c r="R12" s="69"/>
      <c r="S12" s="69"/>
      <c r="T12" s="69"/>
      <c r="U12" s="69"/>
      <c r="V12" s="69"/>
      <c r="W12" s="69"/>
    </row>
    <row r="13" spans="2:23">
      <c r="B13" s="239"/>
      <c r="D13" s="357">
        <f>IF(L13&lt;&gt;1,".",MAX(D$3:D12)+1)</f>
        <v>9</v>
      </c>
      <c r="E13" s="70" t="s">
        <v>92</v>
      </c>
      <c r="F13" s="68" t="s">
        <v>93</v>
      </c>
      <c r="G13" s="123">
        <f t="shared" si="0"/>
        <v>0.33333333333333331</v>
      </c>
      <c r="H13" s="280"/>
      <c r="I13" s="123">
        <f>1/3</f>
        <v>0.33333333333333331</v>
      </c>
      <c r="J13" s="151"/>
      <c r="K13" s="133"/>
      <c r="L13" s="126">
        <v>1</v>
      </c>
      <c r="N13" s="369" t="s">
        <v>94</v>
      </c>
      <c r="O13" s="69"/>
      <c r="P13" s="69"/>
      <c r="Q13" s="69"/>
      <c r="R13" s="69"/>
      <c r="S13" s="69"/>
      <c r="T13" s="69"/>
      <c r="U13" s="69"/>
      <c r="V13" s="69"/>
      <c r="W13" s="69"/>
    </row>
    <row r="14" spans="2:23" ht="17.25" customHeight="1">
      <c r="B14" s="568" t="s">
        <v>12</v>
      </c>
      <c r="D14" s="357">
        <f>IF(L14&lt;&gt;1,".",MAX(D$3:D13)+1)</f>
        <v>10</v>
      </c>
      <c r="E14" s="70" t="s">
        <v>95</v>
      </c>
      <c r="F14" s="68" t="s">
        <v>96</v>
      </c>
      <c r="G14" s="123">
        <f>IF(owsa_low=D14,J14,IF(owsa_high=D14,K14,IF(ISNUMBER(H14),H14,I14)))</f>
        <v>0.33333333333333331</v>
      </c>
      <c r="H14" s="281"/>
      <c r="I14" s="123">
        <f>1/3</f>
        <v>0.33333333333333331</v>
      </c>
      <c r="J14" s="151"/>
      <c r="K14" s="133"/>
      <c r="L14" s="126">
        <v>1</v>
      </c>
      <c r="N14" s="369" t="s">
        <v>97</v>
      </c>
    </row>
    <row r="15" spans="2:23" ht="15.5">
      <c r="B15" s="568"/>
      <c r="D15" s="357" t="str">
        <f>IF(L15&lt;&gt;1,".",MAX(D$3:D14)+1)</f>
        <v>.</v>
      </c>
      <c r="E15" s="70"/>
      <c r="G15" s="123"/>
      <c r="H15" s="123"/>
      <c r="I15" s="123"/>
      <c r="J15" s="123"/>
      <c r="K15" s="123"/>
      <c r="N15" s="369"/>
    </row>
    <row r="16" spans="2:23">
      <c r="B16" s="239"/>
      <c r="D16" s="357" t="str">
        <f>IF(L16&lt;&gt;1,".",MAX(D$3:D15)+1)</f>
        <v>.</v>
      </c>
      <c r="E16" s="73" t="s">
        <v>98</v>
      </c>
      <c r="G16" s="138">
        <f>G7+G8+G9</f>
        <v>1</v>
      </c>
      <c r="H16" s="123"/>
      <c r="I16" s="123"/>
      <c r="J16" s="123"/>
      <c r="K16" s="123"/>
      <c r="N16" s="369"/>
    </row>
    <row r="17" spans="2:14" ht="17.25" customHeight="1">
      <c r="B17" s="571" t="s">
        <v>15</v>
      </c>
      <c r="D17" s="357" t="str">
        <f>IF(L17&lt;&gt;1,".",MAX(D$3:D16)+1)</f>
        <v>.</v>
      </c>
      <c r="E17" s="73" t="s">
        <v>99</v>
      </c>
      <c r="G17" s="358">
        <f>p_pub_hos+p_pub_hc</f>
        <v>1</v>
      </c>
      <c r="H17" s="123"/>
      <c r="I17" s="123"/>
      <c r="J17" s="123"/>
      <c r="K17" s="123"/>
      <c r="N17" s="369"/>
    </row>
    <row r="18" spans="2:14" ht="15.5">
      <c r="B18" s="571"/>
      <c r="D18" s="357" t="str">
        <f>IF(L18&lt;&gt;1,".",MAX(D$3:D17)+1)</f>
        <v>.</v>
      </c>
      <c r="E18" s="73" t="s">
        <v>100</v>
      </c>
      <c r="G18" s="358">
        <f>p_priv_hos+p_priv_phar+p_priv_other</f>
        <v>1</v>
      </c>
      <c r="H18" s="123"/>
      <c r="I18" s="123"/>
      <c r="J18" s="123"/>
      <c r="K18" s="123"/>
      <c r="N18" s="369"/>
    </row>
    <row r="19" spans="2:14">
      <c r="B19" s="239"/>
      <c r="D19" s="357" t="str">
        <f>IF(L19&lt;&gt;1,".",MAX(D$3:D18)+1)</f>
        <v>.</v>
      </c>
      <c r="E19" s="71"/>
      <c r="F19" s="72"/>
      <c r="G19" s="83"/>
      <c r="H19" s="254"/>
      <c r="I19" s="254"/>
      <c r="J19" s="83"/>
      <c r="K19" s="83"/>
      <c r="L19" s="259"/>
      <c r="M19" s="118"/>
      <c r="N19" s="370"/>
    </row>
    <row r="20" spans="2:14" ht="15" customHeight="1">
      <c r="B20" s="571" t="s">
        <v>18</v>
      </c>
      <c r="D20" s="357" t="str">
        <f>IF(L20&lt;&gt;1,".",MAX(D$3:D19)+1)</f>
        <v>.</v>
      </c>
      <c r="H20" s="132"/>
      <c r="I20" s="132"/>
    </row>
    <row r="21" spans="2:14" s="67" customFormat="1" ht="16" customHeight="1">
      <c r="B21" s="571"/>
      <c r="D21" s="357" t="str">
        <f>IF(L21&lt;&gt;1,".",MAX(D$3:D20)+1)</f>
        <v>.</v>
      </c>
      <c r="E21" s="379" t="s">
        <v>101</v>
      </c>
      <c r="F21" s="354" t="s">
        <v>62</v>
      </c>
      <c r="G21" s="354" t="s">
        <v>63</v>
      </c>
      <c r="H21" s="354" t="s">
        <v>64</v>
      </c>
      <c r="I21" s="354" t="s">
        <v>65</v>
      </c>
      <c r="J21" s="570" t="s">
        <v>66</v>
      </c>
      <c r="K21" s="570"/>
      <c r="L21" s="258"/>
      <c r="M21" s="117" t="s">
        <v>68</v>
      </c>
      <c r="N21" s="287" t="s">
        <v>69</v>
      </c>
    </row>
    <row r="22" spans="2:14" ht="19" customHeight="1">
      <c r="B22" s="571"/>
      <c r="D22" s="357" t="str">
        <f>IF(L22&lt;&gt;1,".",MAX(D$3:D21)+1)</f>
        <v>.</v>
      </c>
      <c r="E22" s="70"/>
      <c r="H22" s="132"/>
      <c r="I22" s="132"/>
      <c r="J22" s="83" t="s">
        <v>70</v>
      </c>
      <c r="K22" s="83" t="s">
        <v>71</v>
      </c>
      <c r="N22" s="369"/>
    </row>
    <row r="23" spans="2:14" ht="19" customHeight="1">
      <c r="B23" s="571"/>
      <c r="D23" s="357">
        <f>IF(L23&lt;&gt;1,".",MAX(D$3:D22)+1)</f>
        <v>11</v>
      </c>
      <c r="E23" s="70" t="s">
        <v>102</v>
      </c>
      <c r="F23" s="68" t="s">
        <v>103</v>
      </c>
      <c r="G23" s="123">
        <f>IF(owsa_low=D23,J23,IF(owsa_high=D23,K23,IF(ISNUMBER(H23),H23,I23)))</f>
        <v>0.1</v>
      </c>
      <c r="H23" s="281">
        <v>0.1</v>
      </c>
      <c r="I23" s="123"/>
      <c r="J23" s="150">
        <v>0</v>
      </c>
      <c r="K23" s="271">
        <v>0.15</v>
      </c>
      <c r="L23" s="135">
        <v>1</v>
      </c>
      <c r="M23" t="s">
        <v>666</v>
      </c>
      <c r="N23" s="369" t="s">
        <v>104</v>
      </c>
    </row>
    <row r="24" spans="2:14">
      <c r="B24" s="241"/>
      <c r="D24" s="357">
        <f>IF(L24&lt;&gt;1,".",MAX(D$3:D23)+1)</f>
        <v>12</v>
      </c>
      <c r="E24" s="70" t="s">
        <v>105</v>
      </c>
      <c r="F24" s="68" t="s">
        <v>106</v>
      </c>
      <c r="G24" s="123">
        <f>IF(owsa_low=D24,J24,IF(owsa_high=D24,K24,IF(ISNUMBER(H24),H24,I24)))</f>
        <v>0</v>
      </c>
      <c r="H24" s="280"/>
      <c r="I24" s="123"/>
      <c r="J24" s="150"/>
      <c r="K24" s="123"/>
      <c r="L24" s="135">
        <v>1</v>
      </c>
      <c r="M24" s="468"/>
      <c r="N24" s="361" t="s">
        <v>107</v>
      </c>
    </row>
    <row r="25" spans="2:14" ht="15.5">
      <c r="B25" s="543" t="s">
        <v>29</v>
      </c>
      <c r="D25" s="357">
        <f>IF(L25&lt;&gt;1,".",MAX(D$3:D24)+1)</f>
        <v>13</v>
      </c>
      <c r="E25" s="70" t="s">
        <v>108</v>
      </c>
      <c r="F25" s="68" t="s">
        <v>109</v>
      </c>
      <c r="G25" s="123">
        <f>IF(owsa_low=D25,J25,IF(owsa_high=D25,K25,IF(ISNUMBER(H25),H25,I25)))</f>
        <v>6.2E-2</v>
      </c>
      <c r="H25" s="280">
        <v>6.2E-2</v>
      </c>
      <c r="I25" s="123"/>
      <c r="J25" s="150">
        <v>0</v>
      </c>
      <c r="K25" s="458">
        <v>0.08</v>
      </c>
      <c r="L25" s="135">
        <v>1</v>
      </c>
      <c r="M25" t="s">
        <v>666</v>
      </c>
      <c r="N25" s="369" t="s">
        <v>110</v>
      </c>
    </row>
    <row r="26" spans="2:14" ht="15.5">
      <c r="B26" s="544"/>
      <c r="D26" s="357">
        <f>IF(L26&lt;&gt;1,".",MAX(D$3:D25)+1)</f>
        <v>14</v>
      </c>
      <c r="E26" s="70" t="s">
        <v>111</v>
      </c>
      <c r="F26" s="68" t="s">
        <v>112</v>
      </c>
      <c r="G26" s="123">
        <f>IF(owsa_low=D26,J26,IF(owsa_high=D26,K26,IF(ISNUMBER(H26),H26,I26)))</f>
        <v>0.84</v>
      </c>
      <c r="H26" s="281">
        <v>0.84</v>
      </c>
      <c r="I26" s="123">
        <v>1</v>
      </c>
      <c r="J26" s="151">
        <f>1-SUM(K23:K25)</f>
        <v>0.77</v>
      </c>
      <c r="K26" s="133">
        <f>1-SUM(J23:J25)</f>
        <v>1</v>
      </c>
      <c r="L26" s="135">
        <v>1</v>
      </c>
      <c r="M26" t="s">
        <v>666</v>
      </c>
      <c r="N26" s="369" t="s">
        <v>113</v>
      </c>
    </row>
    <row r="27" spans="2:14">
      <c r="B27" s="241"/>
      <c r="D27" s="357">
        <f>IF(L27&lt;&gt;1,".",MAX(D$3:D26)+1)</f>
        <v>15</v>
      </c>
      <c r="E27" s="70" t="s">
        <v>114</v>
      </c>
      <c r="F27" s="68" t="s">
        <v>115</v>
      </c>
      <c r="G27" s="123">
        <f>IF(owsa_low=D27,J27,IF(owsa_high=D27,K27,IF(ISNUMBER(H27),H27,I27)))</f>
        <v>0</v>
      </c>
      <c r="H27" s="457"/>
      <c r="I27" s="123">
        <v>0</v>
      </c>
      <c r="J27" s="459"/>
      <c r="K27" s="460"/>
      <c r="L27" s="135">
        <v>1</v>
      </c>
      <c r="N27" s="362" t="s">
        <v>116</v>
      </c>
    </row>
    <row r="28" spans="2:14">
      <c r="B28" s="241"/>
      <c r="D28" s="357" t="str">
        <f>IF(L28&lt;&gt;1,".",MAX(D$3:D27)+1)</f>
        <v>.</v>
      </c>
      <c r="E28" s="253" t="s">
        <v>117</v>
      </c>
      <c r="F28" s="72"/>
      <c r="G28" s="254">
        <f>SUM(G23:G26)</f>
        <v>1.002</v>
      </c>
      <c r="H28" s="254"/>
      <c r="I28" s="254"/>
      <c r="J28" s="83"/>
      <c r="K28" s="83"/>
      <c r="L28" s="259"/>
      <c r="M28" s="118"/>
      <c r="N28" s="370"/>
    </row>
    <row r="29" spans="2:14">
      <c r="B29" s="241"/>
      <c r="D29" s="357" t="str">
        <f>IF(L29&lt;&gt;1,".",MAX(D$3:D28)+1)</f>
        <v>.</v>
      </c>
      <c r="H29" s="132"/>
      <c r="I29" s="132"/>
    </row>
    <row r="30" spans="2:14" s="67" customFormat="1">
      <c r="B30" s="380"/>
      <c r="D30" s="357" t="str">
        <f>IF(L30&lt;&gt;1,".",MAX(D$3:D29)+1)</f>
        <v>.</v>
      </c>
      <c r="E30" s="379" t="s">
        <v>118</v>
      </c>
      <c r="F30" s="354" t="s">
        <v>62</v>
      </c>
      <c r="G30" s="354" t="s">
        <v>63</v>
      </c>
      <c r="H30" s="354" t="s">
        <v>64</v>
      </c>
      <c r="I30" s="354" t="s">
        <v>65</v>
      </c>
      <c r="J30" s="570" t="s">
        <v>66</v>
      </c>
      <c r="K30" s="570"/>
      <c r="L30" s="258"/>
      <c r="M30" s="117" t="s">
        <v>68</v>
      </c>
      <c r="N30" s="287" t="s">
        <v>69</v>
      </c>
    </row>
    <row r="31" spans="2:14">
      <c r="B31" s="241"/>
      <c r="D31" s="357" t="str">
        <f>IF(L31&lt;&gt;1,".",MAX(D$3:D30)+1)</f>
        <v>.</v>
      </c>
      <c r="E31" s="70"/>
      <c r="H31" s="132"/>
      <c r="I31" s="132"/>
      <c r="J31" s="83" t="s">
        <v>70</v>
      </c>
      <c r="K31" s="83" t="s">
        <v>71</v>
      </c>
      <c r="N31" s="369"/>
    </row>
    <row r="32" spans="2:14">
      <c r="B32" s="241"/>
      <c r="D32" s="357">
        <f>IF(L32&lt;&gt;1,".",MAX(D$3:D31)+1)</f>
        <v>16</v>
      </c>
      <c r="E32" s="70" t="s">
        <v>119</v>
      </c>
      <c r="F32" s="68" t="s">
        <v>120</v>
      </c>
      <c r="G32" s="123">
        <f>IF(owsa_low=D32,J32,IF(owsa_high=D32,K32,IF(ISNUMBER(H32),H32,I32)))</f>
        <v>0</v>
      </c>
      <c r="H32" s="281"/>
      <c r="I32" s="123"/>
      <c r="J32" s="150"/>
      <c r="K32" s="123"/>
      <c r="L32" s="135">
        <v>1</v>
      </c>
      <c r="N32" s="359"/>
    </row>
    <row r="33" spans="2:14">
      <c r="B33" s="241"/>
      <c r="D33" s="357">
        <f>IF(L33&lt;&gt;1,".",MAX(D$3:D32)+1)</f>
        <v>17</v>
      </c>
      <c r="E33" s="70" t="s">
        <v>121</v>
      </c>
      <c r="F33" s="68" t="s">
        <v>122</v>
      </c>
      <c r="G33" s="135">
        <f>IF(owsa_low=D33,J33,IF(owsa_high=D33,K33,IF(ISNUMBER(H33),H33,I33)))</f>
        <v>0</v>
      </c>
      <c r="H33" s="285"/>
      <c r="J33" s="272"/>
      <c r="K33" s="134"/>
      <c r="L33" s="135">
        <v>1</v>
      </c>
      <c r="N33" s="359" t="s">
        <v>123</v>
      </c>
    </row>
    <row r="34" spans="2:14">
      <c r="B34" s="241"/>
      <c r="D34" s="357">
        <f>IF(L34&lt;&gt;1,".",MAX(D$3:D33)+1)</f>
        <v>18</v>
      </c>
      <c r="E34" s="70" t="s">
        <v>124</v>
      </c>
      <c r="F34" s="68" t="s">
        <v>125</v>
      </c>
      <c r="G34" s="135">
        <f>IF(owsa_low=D34,J34,IF(owsa_high=D34,K34,IF(ISNUMBER(H34),H34,I34)))</f>
        <v>0</v>
      </c>
      <c r="H34" s="286"/>
      <c r="J34" s="272"/>
      <c r="K34" s="134"/>
      <c r="L34" s="135">
        <v>1</v>
      </c>
      <c r="N34" s="359" t="s">
        <v>126</v>
      </c>
    </row>
    <row r="35" spans="2:14">
      <c r="B35" s="241"/>
      <c r="D35" s="357">
        <f>IF(L35&lt;&gt;1,".",MAX(D$3:D34)+1)</f>
        <v>19</v>
      </c>
      <c r="E35" s="70" t="s">
        <v>127</v>
      </c>
      <c r="F35" s="68" t="s">
        <v>128</v>
      </c>
      <c r="G35" s="135">
        <f>IF(owsa_low=D35,J35,IF(owsa_high=D35,K35,IF(ISNUMBER(H35),H35,I35)))</f>
        <v>0</v>
      </c>
      <c r="H35" s="284"/>
      <c r="J35" s="288"/>
      <c r="K35" s="134"/>
      <c r="L35" s="135">
        <v>1</v>
      </c>
      <c r="N35" s="359" t="s">
        <v>129</v>
      </c>
    </row>
    <row r="36" spans="2:14">
      <c r="B36" s="242"/>
      <c r="D36" s="357" t="str">
        <f>IF(L36&lt;&gt;1,".",MAX(D$3:D35)+1)</f>
        <v>.</v>
      </c>
      <c r="E36" s="71"/>
      <c r="F36" s="72"/>
      <c r="G36" s="83"/>
      <c r="H36" s="131"/>
      <c r="I36" s="259"/>
      <c r="J36" s="83"/>
      <c r="K36" s="83"/>
      <c r="L36" s="259"/>
      <c r="M36" s="118"/>
      <c r="N36" s="370"/>
    </row>
    <row r="37" spans="2:14">
      <c r="B37" s="242"/>
      <c r="D37" s="357" t="str">
        <f>IF(L37&lt;&gt;1,".",MAX(D$3:D36)+1)</f>
        <v>.</v>
      </c>
      <c r="H37" s="132"/>
      <c r="I37" s="132"/>
    </row>
    <row r="38" spans="2:14" s="67" customFormat="1">
      <c r="B38" s="381"/>
      <c r="D38" s="357" t="str">
        <f>IF(L38&lt;&gt;1,".",MAX(D$3:D37)+1)</f>
        <v>.</v>
      </c>
      <c r="E38" s="379" t="s">
        <v>130</v>
      </c>
      <c r="F38" s="354" t="s">
        <v>62</v>
      </c>
      <c r="G38" s="354" t="s">
        <v>63</v>
      </c>
      <c r="H38" s="354" t="s">
        <v>64</v>
      </c>
      <c r="I38" s="354" t="s">
        <v>65</v>
      </c>
      <c r="J38" s="570" t="s">
        <v>66</v>
      </c>
      <c r="K38" s="570"/>
      <c r="L38" s="258"/>
      <c r="M38" s="117" t="s">
        <v>68</v>
      </c>
      <c r="N38" s="287" t="s">
        <v>69</v>
      </c>
    </row>
    <row r="39" spans="2:14">
      <c r="B39" s="242"/>
      <c r="D39" s="357" t="str">
        <f>IF(L39&lt;&gt;1,".",MAX(D$3:D38)+1)</f>
        <v>.</v>
      </c>
      <c r="E39" s="70"/>
      <c r="H39" s="126"/>
      <c r="I39" s="132"/>
      <c r="J39" s="83" t="s">
        <v>70</v>
      </c>
      <c r="K39" s="83" t="s">
        <v>71</v>
      </c>
      <c r="N39" s="369"/>
    </row>
    <row r="40" spans="2:14">
      <c r="B40" s="242"/>
      <c r="D40" s="357">
        <f>IF(L40&lt;&gt;1,".",MAX(D$3:D39)+1)</f>
        <v>20</v>
      </c>
      <c r="E40" s="70" t="s">
        <v>702</v>
      </c>
      <c r="F40" s="68" t="s">
        <v>131</v>
      </c>
      <c r="G40" s="123">
        <f>IF(owsa_low=D40,J40,IF(owsa_high=D40,K40,IF(ISNUMBER(H40),H40,I40)))</f>
        <v>0.6</v>
      </c>
      <c r="H40" s="281">
        <v>0.6</v>
      </c>
      <c r="I40" s="123">
        <v>0.6</v>
      </c>
      <c r="J40" s="150">
        <v>0.6</v>
      </c>
      <c r="K40" s="123">
        <v>0.6</v>
      </c>
      <c r="L40" s="135">
        <v>1</v>
      </c>
      <c r="M40" s="121" t="s">
        <v>132</v>
      </c>
      <c r="N40" s="369" t="s">
        <v>133</v>
      </c>
    </row>
    <row r="41" spans="2:14">
      <c r="B41" s="242"/>
      <c r="D41" s="357">
        <f>IF(L41&lt;&gt;1,".",MAX(D$3:D40)+1)</f>
        <v>21</v>
      </c>
      <c r="E41" s="70" t="s">
        <v>654</v>
      </c>
      <c r="F41" s="68" t="s">
        <v>134</v>
      </c>
      <c r="G41" s="123">
        <f>IF(owsa_low=D41,J41,IF(owsa_high=D41,K41,IF(ISNUMBER(H41),H41,I41)))</f>
        <v>0.3</v>
      </c>
      <c r="H41" s="280">
        <v>0.3</v>
      </c>
      <c r="I41" s="123">
        <v>0.3</v>
      </c>
      <c r="J41" s="150">
        <v>0.3</v>
      </c>
      <c r="K41" s="271">
        <v>0.3</v>
      </c>
      <c r="L41" s="135">
        <v>1</v>
      </c>
      <c r="M41" s="121" t="s">
        <v>132</v>
      </c>
      <c r="N41" s="369" t="s">
        <v>135</v>
      </c>
    </row>
    <row r="42" spans="2:14">
      <c r="B42" s="242"/>
      <c r="D42" s="357">
        <f>IF(L42&lt;&gt;1,".",MAX(D$3:D41)+1)</f>
        <v>22</v>
      </c>
      <c r="E42" s="70" t="s">
        <v>136</v>
      </c>
      <c r="F42" s="68" t="s">
        <v>137</v>
      </c>
      <c r="G42" s="123">
        <f>IF(owsa_low=D42,J42,IF(owsa_high=D42,K42,IF(ISNUMBER(H42),H42,I42)))</f>
        <v>0</v>
      </c>
      <c r="H42" s="281">
        <v>0</v>
      </c>
      <c r="I42" s="123">
        <v>0</v>
      </c>
      <c r="J42" s="150"/>
      <c r="K42" s="123"/>
      <c r="L42" s="135">
        <v>1</v>
      </c>
      <c r="M42" s="121" t="s">
        <v>132</v>
      </c>
      <c r="N42" s="369" t="s">
        <v>138</v>
      </c>
    </row>
    <row r="43" spans="2:14">
      <c r="B43" s="242"/>
      <c r="D43" s="357">
        <f>IF(L43&lt;&gt;1,".",MAX(D$3:D42)+1)</f>
        <v>23</v>
      </c>
      <c r="E43" s="70" t="s">
        <v>139</v>
      </c>
      <c r="F43" s="68" t="s">
        <v>140</v>
      </c>
      <c r="G43" s="123">
        <f>IF(owsa_low=D43,J43,IF(owsa_high=D43,K43,IF(ISNUMBER(H43),H43,I43)))</f>
        <v>1</v>
      </c>
      <c r="H43" s="281">
        <v>1</v>
      </c>
      <c r="I43" s="123">
        <v>1</v>
      </c>
      <c r="J43" s="151">
        <v>1</v>
      </c>
      <c r="K43" s="271">
        <v>1</v>
      </c>
      <c r="L43" s="135">
        <v>1</v>
      </c>
      <c r="M43" s="121" t="s">
        <v>132</v>
      </c>
      <c r="N43" s="369"/>
    </row>
    <row r="44" spans="2:14">
      <c r="B44" s="242"/>
      <c r="D44" s="357" t="str">
        <f>IF(L44&lt;&gt;1,".",MAX(D$3:D43)+1)</f>
        <v>.</v>
      </c>
      <c r="E44" s="71"/>
      <c r="F44" s="72"/>
      <c r="G44" s="83"/>
      <c r="H44" s="131"/>
      <c r="I44" s="131"/>
      <c r="J44" s="83"/>
      <c r="K44" s="83"/>
      <c r="L44" s="259"/>
      <c r="M44" s="118"/>
      <c r="N44" s="370"/>
    </row>
    <row r="45" spans="2:14">
      <c r="B45" s="242"/>
      <c r="D45" s="357" t="str">
        <f>IF(L45&lt;&gt;1,".",MAX(D$3:D44)+1)</f>
        <v>.</v>
      </c>
      <c r="H45" s="132"/>
      <c r="I45" s="132"/>
    </row>
    <row r="46" spans="2:14" s="67" customFormat="1">
      <c r="B46" s="381"/>
      <c r="D46" s="357" t="str">
        <f>IF(L46&lt;&gt;1,".",MAX(D$3:D45)+1)</f>
        <v>.</v>
      </c>
      <c r="E46" s="379" t="s">
        <v>141</v>
      </c>
      <c r="F46" s="354" t="s">
        <v>62</v>
      </c>
      <c r="G46" s="354" t="s">
        <v>63</v>
      </c>
      <c r="H46" s="354" t="s">
        <v>64</v>
      </c>
      <c r="I46" s="354" t="s">
        <v>65</v>
      </c>
      <c r="J46" s="570" t="s">
        <v>66</v>
      </c>
      <c r="K46" s="570"/>
      <c r="L46" s="258"/>
      <c r="M46" s="117" t="s">
        <v>68</v>
      </c>
      <c r="N46" s="287" t="s">
        <v>69</v>
      </c>
    </row>
    <row r="47" spans="2:14">
      <c r="B47" s="242"/>
      <c r="D47" s="357" t="str">
        <f>IF(L47&lt;&gt;1,".",MAX(D$3:D46)+1)</f>
        <v>.</v>
      </c>
      <c r="E47" s="74" t="s">
        <v>142</v>
      </c>
      <c r="F47" s="75"/>
      <c r="G47" s="76"/>
      <c r="H47" s="76"/>
      <c r="I47" s="76"/>
      <c r="J47" s="76"/>
      <c r="K47" s="76"/>
      <c r="L47" s="140"/>
      <c r="M47" s="119"/>
      <c r="N47" s="372"/>
    </row>
    <row r="48" spans="2:14">
      <c r="B48" s="242"/>
      <c r="D48" s="357" t="str">
        <f>IF(L48&lt;&gt;1,".",MAX(D$3:D47)+1)</f>
        <v>.</v>
      </c>
      <c r="E48" s="73"/>
      <c r="J48" s="83" t="s">
        <v>70</v>
      </c>
      <c r="K48" s="83" t="s">
        <v>71</v>
      </c>
      <c r="N48" s="369"/>
    </row>
    <row r="49" spans="2:14">
      <c r="B49" s="242"/>
      <c r="D49" s="357">
        <f>IF(L49&lt;&gt;1,".",MAX(D$3:D48)+1)</f>
        <v>24</v>
      </c>
      <c r="E49" s="70" t="s">
        <v>143</v>
      </c>
      <c r="F49" s="68" t="s">
        <v>144</v>
      </c>
      <c r="G49" s="135">
        <f t="shared" ref="G49:G55" si="1">IF(owsa_low=D49,J49,IF(owsa_high=D49,K49,IF(ISNUMBER(H49),H49,I49)))</f>
        <v>0</v>
      </c>
      <c r="H49" s="286"/>
      <c r="I49" s="126"/>
      <c r="J49" s="149"/>
      <c r="L49" s="126">
        <v>1</v>
      </c>
      <c r="N49" s="369" t="s">
        <v>145</v>
      </c>
    </row>
    <row r="50" spans="2:14" s="448" customFormat="1">
      <c r="B50" s="447"/>
      <c r="D50" s="449">
        <f>IF(L50&lt;&gt;1,".",MAX(D$3:D49)+1)</f>
        <v>25</v>
      </c>
      <c r="E50" s="450" t="s">
        <v>146</v>
      </c>
      <c r="F50" s="448" t="s">
        <v>147</v>
      </c>
      <c r="G50" s="135">
        <f t="shared" si="1"/>
        <v>0</v>
      </c>
      <c r="H50" s="461"/>
      <c r="I50" s="451"/>
      <c r="J50" s="452"/>
      <c r="K50" s="453"/>
      <c r="L50" s="451">
        <v>1</v>
      </c>
      <c r="M50" s="454"/>
      <c r="N50" s="455" t="s">
        <v>148</v>
      </c>
    </row>
    <row r="51" spans="2:14">
      <c r="D51" s="357">
        <f>IF(L51&lt;&gt;1,".",MAX(D$3:D50)+1)</f>
        <v>26</v>
      </c>
      <c r="E51" s="70" t="s">
        <v>149</v>
      </c>
      <c r="F51" s="68" t="s">
        <v>150</v>
      </c>
      <c r="G51" s="135">
        <f t="shared" si="1"/>
        <v>0</v>
      </c>
      <c r="H51" s="285"/>
      <c r="I51" s="126"/>
      <c r="J51" s="149"/>
      <c r="L51" s="126">
        <v>1</v>
      </c>
      <c r="N51" s="369" t="s">
        <v>151</v>
      </c>
    </row>
    <row r="52" spans="2:14">
      <c r="D52" s="357">
        <f>IF(L52&lt;&gt;1,".",MAX(D$3:D51)+1)</f>
        <v>27</v>
      </c>
      <c r="E52" s="70" t="s">
        <v>152</v>
      </c>
      <c r="F52" s="68" t="s">
        <v>153</v>
      </c>
      <c r="G52" s="135">
        <f t="shared" si="1"/>
        <v>0</v>
      </c>
      <c r="H52" s="285"/>
      <c r="I52" s="126"/>
      <c r="J52" s="149"/>
      <c r="K52" s="289"/>
      <c r="L52" s="126">
        <v>1</v>
      </c>
      <c r="N52" s="369" t="s">
        <v>154</v>
      </c>
    </row>
    <row r="53" spans="2:14">
      <c r="D53" s="357">
        <f>IF(L53&lt;&gt;1,".",MAX(D$3:D52)+1)</f>
        <v>28</v>
      </c>
      <c r="E53" s="70" t="s">
        <v>155</v>
      </c>
      <c r="F53" s="68" t="s">
        <v>156</v>
      </c>
      <c r="G53" s="135">
        <f t="shared" si="1"/>
        <v>0</v>
      </c>
      <c r="H53" s="285"/>
      <c r="I53" s="126"/>
      <c r="J53" s="149"/>
      <c r="L53" s="126">
        <v>1</v>
      </c>
      <c r="N53" s="369" t="s">
        <v>157</v>
      </c>
    </row>
    <row r="54" spans="2:14">
      <c r="D54" s="357">
        <f>IF(L54&lt;&gt;1,".",MAX(D$3:D53)+1)</f>
        <v>29</v>
      </c>
      <c r="E54" s="70" t="s">
        <v>158</v>
      </c>
      <c r="F54" s="68" t="s">
        <v>159</v>
      </c>
      <c r="G54" s="135">
        <f t="shared" si="1"/>
        <v>0</v>
      </c>
      <c r="H54" s="285"/>
      <c r="I54" s="126"/>
      <c r="J54" s="149"/>
      <c r="K54" s="289"/>
      <c r="L54" s="126">
        <v>1</v>
      </c>
      <c r="M54" s="468"/>
      <c r="N54" s="369" t="s">
        <v>160</v>
      </c>
    </row>
    <row r="55" spans="2:14">
      <c r="D55" s="357">
        <f>IF(L55&lt;&gt;1,".",MAX(D$3:D54)+1)</f>
        <v>30</v>
      </c>
      <c r="E55" s="70" t="s">
        <v>161</v>
      </c>
      <c r="F55" s="68" t="s">
        <v>162</v>
      </c>
      <c r="G55" s="135">
        <f t="shared" si="1"/>
        <v>3.0000000000000001E-3</v>
      </c>
      <c r="H55" s="467">
        <f>0.003</f>
        <v>3.0000000000000001E-3</v>
      </c>
      <c r="I55" s="126"/>
      <c r="J55" s="149">
        <v>1.6000000000000001E-3</v>
      </c>
      <c r="K55" s="67">
        <v>5.8999999999999999E-3</v>
      </c>
      <c r="L55" s="126">
        <v>1</v>
      </c>
      <c r="M55" s="465" t="s">
        <v>713</v>
      </c>
      <c r="N55" s="369" t="s">
        <v>655</v>
      </c>
    </row>
    <row r="56" spans="2:14">
      <c r="D56" s="357">
        <f>IF(L56&lt;&gt;1,".",MAX(D$3:D55)+1)</f>
        <v>31</v>
      </c>
      <c r="E56" s="70" t="s">
        <v>163</v>
      </c>
      <c r="F56" s="68" t="s">
        <v>164</v>
      </c>
      <c r="G56" s="135">
        <f>IF(owsa_low=D56,J56,IF(owsa_high=D56,K56,IF(ISNUMBER(H56),H56,I56)))</f>
        <v>8.9999999999999993E-3</v>
      </c>
      <c r="H56" s="519">
        <v>8.9999999999999993E-3</v>
      </c>
      <c r="I56" s="126"/>
      <c r="J56" s="149">
        <v>6.1999999999999998E-3</v>
      </c>
      <c r="K56" s="289">
        <v>1.29E-2</v>
      </c>
      <c r="L56" s="126">
        <v>1</v>
      </c>
      <c r="M56" s="468" t="s">
        <v>699</v>
      </c>
      <c r="N56" s="373" t="s">
        <v>656</v>
      </c>
    </row>
    <row r="57" spans="2:14">
      <c r="D57" s="357" t="str">
        <f>IF(L57&lt;&gt;1,".",MAX(D$3:D56)+1)</f>
        <v>.</v>
      </c>
      <c r="E57" s="70"/>
      <c r="H57" s="123"/>
      <c r="I57" s="126"/>
      <c r="N57" s="369"/>
    </row>
    <row r="58" spans="2:14">
      <c r="D58" s="357" t="str">
        <f>IF(L58&lt;&gt;1,".",MAX(D$3:D57)+1)</f>
        <v>.</v>
      </c>
      <c r="E58" s="74" t="str">
        <f>_xlfn.CONCAT(Setting!E7,"-specific Outcomes")</f>
        <v>pnemonia in children &lt;5 years old-specific Outcomes</v>
      </c>
      <c r="F58" s="77"/>
      <c r="G58" s="124"/>
      <c r="H58" s="136"/>
      <c r="I58" s="137"/>
      <c r="J58" s="124"/>
      <c r="K58" s="124"/>
      <c r="L58" s="137"/>
      <c r="M58" s="120"/>
      <c r="N58" s="374"/>
    </row>
    <row r="59" spans="2:14">
      <c r="D59" s="357" t="str">
        <f>IF(L59&lt;&gt;1,".",MAX(D$3:D58)+1)</f>
        <v>.</v>
      </c>
      <c r="E59" s="73"/>
      <c r="F59" s="78"/>
      <c r="G59" s="125"/>
      <c r="H59" s="138"/>
      <c r="I59" s="139"/>
      <c r="J59" s="83" t="s">
        <v>70</v>
      </c>
      <c r="K59" s="83" t="s">
        <v>71</v>
      </c>
      <c r="M59" s="121"/>
      <c r="N59" s="375"/>
    </row>
    <row r="60" spans="2:14">
      <c r="D60" s="357">
        <f>IF(L60&lt;&gt;1,".",MAX(D$3:D59)+1)</f>
        <v>32</v>
      </c>
      <c r="E60" s="70" t="str">
        <f>_xlfn.CONCAT("Probability of ", Setting!E16," with treatment")</f>
        <v>Probability of severe pneumonia with treatment</v>
      </c>
      <c r="F60" s="68" t="s">
        <v>165</v>
      </c>
      <c r="G60" s="135">
        <f t="shared" ref="G60:G67" si="2">IF(owsa_low=D60,J60,IF(owsa_high=D60,K60,IF(ISNUMBER(H60),H60,I60)))</f>
        <v>7.4999999999999997E-2</v>
      </c>
      <c r="H60" s="285">
        <v>7.4999999999999997E-2</v>
      </c>
      <c r="I60" s="126"/>
      <c r="J60" s="149">
        <v>0.04</v>
      </c>
      <c r="K60" s="289">
        <v>0.15</v>
      </c>
      <c r="L60" s="126">
        <v>1</v>
      </c>
      <c r="M60" s="465" t="s">
        <v>712</v>
      </c>
      <c r="N60" s="369" t="s">
        <v>166</v>
      </c>
    </row>
    <row r="61" spans="2:14">
      <c r="D61" s="357">
        <f>IF(L61&lt;&gt;1,".",MAX(D$3:D60)+1)</f>
        <v>33</v>
      </c>
      <c r="E61" s="70" t="str">
        <f>_xlfn.CONCAT("Probability of ", Setting!E16," without treatment")</f>
        <v>Probability of severe pneumonia without treatment</v>
      </c>
      <c r="F61" s="68" t="s">
        <v>167</v>
      </c>
      <c r="G61" s="135">
        <f>IF(owsa_low=D61,J61,IF(owsa_high=D61,K61,IF(ISNUMBER(H61),H61,I62)))</f>
        <v>0.23</v>
      </c>
      <c r="H61" s="284">
        <v>0.23</v>
      </c>
      <c r="J61" s="149">
        <v>0.16</v>
      </c>
      <c r="K61" s="289">
        <v>0.33</v>
      </c>
      <c r="L61" s="126">
        <v>1</v>
      </c>
      <c r="M61" s="465" t="s">
        <v>665</v>
      </c>
      <c r="N61" s="376" t="s">
        <v>168</v>
      </c>
    </row>
    <row r="62" spans="2:14">
      <c r="D62" s="357">
        <f>IF(L62&lt;&gt;1,".",MAX(D$3:D61)+1)</f>
        <v>34</v>
      </c>
      <c r="E62" s="70" t="str">
        <f>_xlfn.CONCAT("Probability of ", Setting!E17," with treatment")</f>
        <v>Probability of very severe pneumonia with treatment</v>
      </c>
      <c r="F62" s="68" t="s">
        <v>169</v>
      </c>
      <c r="G62" s="135">
        <f>IF(owsa_low=D62,J62,IF(owsa_high=D62,K62,IF(ISNUMBER(H62),H62,#REF!)))</f>
        <v>0.03</v>
      </c>
      <c r="H62" s="520">
        <v>0.03</v>
      </c>
      <c r="I62" s="126"/>
      <c r="J62" s="149">
        <v>1.6E-2</v>
      </c>
      <c r="K62" s="453">
        <v>0.06</v>
      </c>
      <c r="L62" s="126">
        <v>1</v>
      </c>
      <c r="M62" s="465" t="s">
        <v>711</v>
      </c>
      <c r="N62" s="369" t="s">
        <v>166</v>
      </c>
    </row>
    <row r="63" spans="2:14">
      <c r="D63" s="357">
        <f>IF(L63&lt;&gt;1,".",MAX(D$3:D62)+1)</f>
        <v>35</v>
      </c>
      <c r="E63" s="70" t="str">
        <f>_xlfn.CONCAT("Probability of ", Setting!E17," without treatment")</f>
        <v>Probability of very severe pneumonia without treatment</v>
      </c>
      <c r="F63" s="68" t="s">
        <v>170</v>
      </c>
      <c r="G63" s="135">
        <f t="shared" si="2"/>
        <v>9.1999999999999998E-2</v>
      </c>
      <c r="H63" s="518">
        <v>9.1999999999999998E-2</v>
      </c>
      <c r="I63" s="126"/>
      <c r="J63" s="149">
        <v>6.4000000000000001E-2</v>
      </c>
      <c r="K63" s="289">
        <v>0.13200000000000001</v>
      </c>
      <c r="L63" s="126">
        <v>1</v>
      </c>
      <c r="M63" s="512" t="s">
        <v>700</v>
      </c>
      <c r="N63" s="376" t="s">
        <v>168</v>
      </c>
    </row>
    <row r="64" spans="2:14">
      <c r="D64" s="357">
        <f>IF(L64&lt;&gt;1,".",MAX(D$3:D63)+1)</f>
        <v>36</v>
      </c>
      <c r="E64" s="70" t="str">
        <f>_xlfn.CONCAT("Probability of ", Setting!E18," with treatment")</f>
        <v>Probability of Custom 3 with treatment</v>
      </c>
      <c r="F64" s="68" t="s">
        <v>171</v>
      </c>
      <c r="G64" s="135">
        <f t="shared" si="2"/>
        <v>0</v>
      </c>
      <c r="H64" s="285"/>
      <c r="I64" s="126"/>
      <c r="J64" s="149"/>
      <c r="K64" s="289"/>
      <c r="L64" s="126">
        <v>1</v>
      </c>
      <c r="M64" s="468"/>
      <c r="N64" s="369" t="s">
        <v>166</v>
      </c>
    </row>
    <row r="65" spans="2:14">
      <c r="D65" s="357">
        <f>IF(L65&lt;&gt;1,".",MAX(D$3:D64)+1)</f>
        <v>37</v>
      </c>
      <c r="E65" s="70" t="str">
        <f>_xlfn.CONCAT("Probability of ", Setting!E18," without treatment")</f>
        <v>Probability of Custom 3 without treatment</v>
      </c>
      <c r="F65" s="68" t="s">
        <v>172</v>
      </c>
      <c r="G65" s="135">
        <f t="shared" si="2"/>
        <v>0</v>
      </c>
      <c r="H65" s="285"/>
      <c r="I65" s="126"/>
      <c r="J65" s="149"/>
      <c r="K65" s="289"/>
      <c r="L65" s="126">
        <v>1</v>
      </c>
      <c r="N65" s="376" t="s">
        <v>168</v>
      </c>
    </row>
    <row r="66" spans="2:14">
      <c r="D66" s="357">
        <f>IF(L66&lt;&gt;1,".",MAX(D$3:D65)+1)</f>
        <v>38</v>
      </c>
      <c r="E66" s="70" t="str">
        <f>_xlfn.CONCAT("Probability of ", Setting!E19," with treatment")</f>
        <v>Probability of Custom 4 with treatment</v>
      </c>
      <c r="F66" s="68" t="s">
        <v>173</v>
      </c>
      <c r="G66" s="135">
        <f t="shared" si="2"/>
        <v>0</v>
      </c>
      <c r="H66" s="285"/>
      <c r="I66" s="126"/>
      <c r="J66" s="149"/>
      <c r="K66" s="289"/>
      <c r="L66" s="126">
        <v>1</v>
      </c>
      <c r="N66" s="369" t="s">
        <v>166</v>
      </c>
    </row>
    <row r="67" spans="2:14">
      <c r="B67" s="241"/>
      <c r="D67" s="357">
        <f>IF(L67&lt;&gt;1,".",MAX(D$3:D66)+1)</f>
        <v>39</v>
      </c>
      <c r="E67" s="70" t="str">
        <f>_xlfn.CONCAT("Probability of ", Setting!E19," without treatment")</f>
        <v>Probability of Custom 4 without treatment</v>
      </c>
      <c r="F67" s="68" t="s">
        <v>174</v>
      </c>
      <c r="G67" s="135">
        <f t="shared" si="2"/>
        <v>0</v>
      </c>
      <c r="H67" s="284"/>
      <c r="I67" s="126"/>
      <c r="J67" s="149"/>
      <c r="K67" s="289"/>
      <c r="L67" s="126">
        <v>1</v>
      </c>
      <c r="N67" s="376" t="s">
        <v>168</v>
      </c>
    </row>
    <row r="68" spans="2:14">
      <c r="B68" s="241"/>
      <c r="D68" s="357" t="str">
        <f>IF(L68&lt;&gt;1,".",MAX(D$3:D67)+1)</f>
        <v>.</v>
      </c>
      <c r="E68" s="70"/>
      <c r="G68" s="126"/>
      <c r="H68" s="135"/>
      <c r="I68" s="126"/>
      <c r="J68" s="126"/>
      <c r="K68" s="126"/>
      <c r="N68" s="369"/>
    </row>
    <row r="69" spans="2:14">
      <c r="B69" s="241"/>
      <c r="D69" s="357" t="str">
        <f>IF(L69&lt;&gt;1,".",MAX(D$3:D68)+1)</f>
        <v>.</v>
      </c>
      <c r="E69" s="74" t="s">
        <v>175</v>
      </c>
      <c r="F69" s="75"/>
      <c r="G69" s="76"/>
      <c r="H69" s="136"/>
      <c r="I69" s="140"/>
      <c r="J69" s="76"/>
      <c r="K69" s="76"/>
      <c r="L69" s="140"/>
      <c r="M69" s="119"/>
      <c r="N69" s="372"/>
    </row>
    <row r="70" spans="2:14" ht="17" customHeight="1">
      <c r="B70" s="241"/>
      <c r="D70" s="357" t="str">
        <f>IF(L70&lt;&gt;1,".",MAX(D$3:D69)+1)</f>
        <v>.</v>
      </c>
      <c r="E70" s="73"/>
      <c r="H70" s="139"/>
      <c r="I70" s="126"/>
      <c r="J70" s="83" t="s">
        <v>70</v>
      </c>
      <c r="K70" s="83" t="s">
        <v>71</v>
      </c>
      <c r="N70" s="369"/>
    </row>
    <row r="71" spans="2:14" ht="22" customHeight="1">
      <c r="D71" s="357">
        <f>IF(L71&lt;&gt;1,".",MAX(D$3:D70)+1)</f>
        <v>40</v>
      </c>
      <c r="E71" s="70" t="str">
        <f>_xlfn.CONCAT("Number of sick days due to ", Setting!E16," with treatment")</f>
        <v>Number of sick days due to severe pneumonia with treatment</v>
      </c>
      <c r="F71" s="68" t="s">
        <v>176</v>
      </c>
      <c r="G71" s="126">
        <f t="shared" ref="G71:G78" si="3">IF(owsa_low=D71,J71,IF(owsa_high=D71,K71,IF(ISNUMBER(H71),H71,I71)))</f>
        <v>6.4</v>
      </c>
      <c r="H71" s="286">
        <v>6.4</v>
      </c>
      <c r="I71" s="126"/>
      <c r="J71" s="152">
        <v>4.0999999999999996</v>
      </c>
      <c r="K71" s="126">
        <v>7.1</v>
      </c>
      <c r="L71" s="126">
        <v>1</v>
      </c>
      <c r="M71" s="468" t="s">
        <v>701</v>
      </c>
      <c r="N71" s="369" t="s">
        <v>177</v>
      </c>
    </row>
    <row r="72" spans="2:14">
      <c r="D72" s="357">
        <f>IF(L72&lt;&gt;1,".",MAX(D$3:D71)+1)</f>
        <v>41</v>
      </c>
      <c r="E72" s="70" t="str">
        <f>_xlfn.CONCAT("Number of sick days due to ", Setting!E16," without treatment")</f>
        <v>Number of sick days due to severe pneumonia without treatment</v>
      </c>
      <c r="F72" s="68" t="s">
        <v>178</v>
      </c>
      <c r="G72" s="126">
        <f>IF(owsa_low=D72,J72,IF(owsa_high=D72,K72,IF(ISNUMBER(H72),H72,I72)))</f>
        <v>6.4</v>
      </c>
      <c r="H72" s="286">
        <v>6.4</v>
      </c>
      <c r="I72" s="126"/>
      <c r="J72" s="152">
        <v>4.0999999999999996</v>
      </c>
      <c r="K72" s="291">
        <v>7.1</v>
      </c>
      <c r="L72" s="126">
        <v>1</v>
      </c>
      <c r="M72" s="468" t="s">
        <v>701</v>
      </c>
      <c r="N72" s="369" t="s">
        <v>179</v>
      </c>
    </row>
    <row r="73" spans="2:14">
      <c r="D73" s="357">
        <f>IF(L73&lt;&gt;1,".",MAX(D$3:D72)+1)</f>
        <v>42</v>
      </c>
      <c r="E73" s="70" t="str">
        <f>_xlfn.CONCAT("Number of sick days due to ", Setting!E17," with treatment")</f>
        <v>Number of sick days due to very severe pneumonia with treatment</v>
      </c>
      <c r="F73" s="68" t="s">
        <v>180</v>
      </c>
      <c r="G73" s="126">
        <f>IF(owsa_low=D73,J73,IF(owsa_high=D73,K73,IF(ISNUMBER(H73),H73,I73)))</f>
        <v>9.1999999999999993</v>
      </c>
      <c r="H73" s="286">
        <v>9.1999999999999993</v>
      </c>
      <c r="I73" s="126"/>
      <c r="J73" s="152">
        <v>6.1</v>
      </c>
      <c r="K73" s="126">
        <v>12.6</v>
      </c>
      <c r="L73" s="126">
        <v>1</v>
      </c>
      <c r="M73" s="468" t="s">
        <v>701</v>
      </c>
      <c r="N73" s="369" t="s">
        <v>177</v>
      </c>
    </row>
    <row r="74" spans="2:14">
      <c r="D74" s="357">
        <f>IF(L74&lt;&gt;1,".",MAX(D$3:D73)+1)</f>
        <v>43</v>
      </c>
      <c r="E74" s="450" t="str">
        <f>_xlfn.CONCAT("Number of sick days due to ", Setting!E17," without treatment")</f>
        <v>Number of sick days due to very severe pneumonia without treatment</v>
      </c>
      <c r="F74" s="68" t="s">
        <v>181</v>
      </c>
      <c r="G74" s="126">
        <f t="shared" si="3"/>
        <v>9.1999999999999993</v>
      </c>
      <c r="H74" s="286">
        <v>9.1999999999999993</v>
      </c>
      <c r="I74" s="126"/>
      <c r="J74" s="152">
        <v>6.1</v>
      </c>
      <c r="K74" s="291">
        <v>12.6</v>
      </c>
      <c r="L74" s="126">
        <v>1</v>
      </c>
      <c r="M74" s="468" t="s">
        <v>701</v>
      </c>
      <c r="N74" s="369" t="s">
        <v>179</v>
      </c>
    </row>
    <row r="75" spans="2:14">
      <c r="D75" s="357">
        <f>IF(L75&lt;&gt;1,".",MAX(D$3:D74)+1)</f>
        <v>44</v>
      </c>
      <c r="E75" s="70" t="str">
        <f>_xlfn.CONCAT("Number of sick days due to ", Setting!E18," with treatment")</f>
        <v>Number of sick days due to Custom 3 with treatment</v>
      </c>
      <c r="F75" s="68" t="s">
        <v>182</v>
      </c>
      <c r="G75" s="126">
        <f t="shared" si="3"/>
        <v>0</v>
      </c>
      <c r="H75" s="285"/>
      <c r="I75" s="126"/>
      <c r="J75" s="152"/>
      <c r="K75" s="126"/>
      <c r="L75" s="126">
        <v>1</v>
      </c>
      <c r="N75" s="369" t="s">
        <v>177</v>
      </c>
    </row>
    <row r="76" spans="2:14">
      <c r="D76" s="357">
        <f>IF(L76&lt;&gt;1,".",MAX(D$3:D75)+1)</f>
        <v>45</v>
      </c>
      <c r="E76" s="70" t="str">
        <f>_xlfn.CONCAT("Number of sick days due to ", Setting!E18," without treatment")</f>
        <v>Number of sick days due to Custom 3 without treatment</v>
      </c>
      <c r="F76" s="68" t="s">
        <v>183</v>
      </c>
      <c r="G76" s="126">
        <f t="shared" si="3"/>
        <v>0</v>
      </c>
      <c r="H76" s="285"/>
      <c r="I76" s="126"/>
      <c r="J76" s="152"/>
      <c r="K76" s="291"/>
      <c r="L76" s="126">
        <v>1</v>
      </c>
      <c r="N76" s="369" t="s">
        <v>179</v>
      </c>
    </row>
    <row r="77" spans="2:14">
      <c r="D77" s="357">
        <f>IF(L77&lt;&gt;1,".",MAX(D$3:D76)+1)</f>
        <v>46</v>
      </c>
      <c r="E77" s="70" t="str">
        <f>_xlfn.CONCAT("Number of sick days due to ", Setting!E19," with treatment")</f>
        <v>Number of sick days due to Custom 4 with treatment</v>
      </c>
      <c r="F77" s="68" t="s">
        <v>184</v>
      </c>
      <c r="G77" s="126">
        <f t="shared" si="3"/>
        <v>0</v>
      </c>
      <c r="H77" s="284"/>
      <c r="I77" s="126"/>
      <c r="J77" s="152"/>
      <c r="K77" s="126"/>
      <c r="L77" s="126">
        <v>1</v>
      </c>
      <c r="N77" s="369" t="s">
        <v>177</v>
      </c>
    </row>
    <row r="78" spans="2:14">
      <c r="D78" s="357">
        <f>IF(L78&lt;&gt;1,".",MAX(D$3:D77)+1)</f>
        <v>47</v>
      </c>
      <c r="E78" s="70" t="str">
        <f>_xlfn.CONCAT("Number of sick days due to ", Setting!E19," without treatment")</f>
        <v>Number of sick days due to Custom 4 without treatment</v>
      </c>
      <c r="F78" s="68" t="s">
        <v>185</v>
      </c>
      <c r="G78" s="126">
        <f t="shared" si="3"/>
        <v>0</v>
      </c>
      <c r="H78" s="456"/>
      <c r="I78" s="126"/>
      <c r="J78" s="153"/>
      <c r="K78" s="147"/>
      <c r="L78" s="126">
        <v>1</v>
      </c>
      <c r="N78" s="369" t="s">
        <v>179</v>
      </c>
    </row>
    <row r="79" spans="2:14">
      <c r="D79" s="357" t="str">
        <f>IF(L79&lt;&gt;1,".",MAX(D$3:D78)+1)</f>
        <v>.</v>
      </c>
      <c r="E79" s="70"/>
      <c r="G79" s="126"/>
      <c r="H79" s="141"/>
      <c r="I79" s="126"/>
      <c r="J79" s="126"/>
      <c r="K79" s="126"/>
      <c r="N79" s="369"/>
    </row>
    <row r="80" spans="2:14">
      <c r="D80" s="357" t="str">
        <f>IF(L80&lt;&gt;1,".",MAX(D$3:D79)+1)</f>
        <v>.</v>
      </c>
      <c r="E80" s="74" t="s">
        <v>186</v>
      </c>
      <c r="F80" s="75"/>
      <c r="G80" s="76"/>
      <c r="H80" s="136"/>
      <c r="I80" s="140"/>
      <c r="J80" s="76"/>
      <c r="K80" s="76"/>
      <c r="L80" s="140"/>
      <c r="M80" s="119"/>
      <c r="N80" s="372"/>
    </row>
    <row r="81" spans="2:14">
      <c r="D81" s="357" t="str">
        <f>IF(L81&lt;&gt;1,".",MAX(D$3:D80)+1)</f>
        <v>.</v>
      </c>
      <c r="E81" s="70"/>
      <c r="G81" s="126"/>
      <c r="H81" s="142"/>
      <c r="I81" s="126"/>
      <c r="J81" s="83" t="s">
        <v>70</v>
      </c>
      <c r="K81" s="83" t="s">
        <v>71</v>
      </c>
      <c r="N81" s="369"/>
    </row>
    <row r="82" spans="2:14">
      <c r="D82" s="357">
        <f>IF(L82&lt;&gt;1,".",MAX(D$3:D81)+1)</f>
        <v>48</v>
      </c>
      <c r="E82" s="70" t="s">
        <v>187</v>
      </c>
      <c r="F82" s="68" t="s">
        <v>188</v>
      </c>
      <c r="G82" s="126">
        <f t="shared" ref="G82:G89" si="4">IF(owsa_low=D82,J82,IF(owsa_high=D82,K82,IF(ISNUMBER(H82),H82,I82)))</f>
        <v>0</v>
      </c>
      <c r="H82" s="456"/>
      <c r="I82" s="126"/>
      <c r="J82" s="152">
        <f>G82*0.8</f>
        <v>0</v>
      </c>
      <c r="K82" s="126">
        <f>G82*1.2</f>
        <v>0</v>
      </c>
      <c r="L82" s="126">
        <v>1</v>
      </c>
      <c r="N82" s="369" t="s">
        <v>189</v>
      </c>
    </row>
    <row r="83" spans="2:14">
      <c r="D83" s="357">
        <f>IF(L83&lt;&gt;1,".",MAX(D$3:D82)+1)</f>
        <v>49</v>
      </c>
      <c r="E83" s="70" t="s">
        <v>190</v>
      </c>
      <c r="F83" s="68" t="s">
        <v>191</v>
      </c>
      <c r="G83" s="126">
        <f t="shared" si="4"/>
        <v>0</v>
      </c>
      <c r="H83" s="456"/>
      <c r="I83" s="126"/>
      <c r="J83" s="152">
        <f t="shared" ref="J83:J89" si="5">G83*0.8</f>
        <v>0</v>
      </c>
      <c r="K83" s="291">
        <f t="shared" ref="K83:K89" si="6">G83*1.2</f>
        <v>0</v>
      </c>
      <c r="L83" s="126">
        <v>1</v>
      </c>
      <c r="N83" s="369" t="s">
        <v>192</v>
      </c>
    </row>
    <row r="84" spans="2:14">
      <c r="D84" s="357">
        <f>IF(L84&lt;&gt;1,".",MAX(D$3:D83)+1)</f>
        <v>50</v>
      </c>
      <c r="E84" s="70" t="s">
        <v>193</v>
      </c>
      <c r="F84" s="68" t="s">
        <v>194</v>
      </c>
      <c r="G84" s="126">
        <f t="shared" si="4"/>
        <v>0</v>
      </c>
      <c r="H84" s="456"/>
      <c r="I84" s="126"/>
      <c r="J84" s="152">
        <f t="shared" si="5"/>
        <v>0</v>
      </c>
      <c r="K84" s="126">
        <f t="shared" si="6"/>
        <v>0</v>
      </c>
      <c r="L84" s="126">
        <v>1</v>
      </c>
      <c r="N84" s="369" t="s">
        <v>195</v>
      </c>
    </row>
    <row r="85" spans="2:14">
      <c r="D85" s="357">
        <f>IF(L85&lt;&gt;1,".",MAX(D$3:D84)+1)</f>
        <v>51</v>
      </c>
      <c r="E85" s="70" t="s">
        <v>196</v>
      </c>
      <c r="F85" s="68" t="s">
        <v>197</v>
      </c>
      <c r="G85" s="126">
        <f t="shared" si="4"/>
        <v>0</v>
      </c>
      <c r="H85" s="456"/>
      <c r="I85" s="126"/>
      <c r="J85" s="152">
        <f t="shared" si="5"/>
        <v>0</v>
      </c>
      <c r="K85" s="290">
        <f t="shared" si="6"/>
        <v>0</v>
      </c>
      <c r="L85" s="126">
        <v>1</v>
      </c>
      <c r="N85" s="369" t="s">
        <v>198</v>
      </c>
    </row>
    <row r="86" spans="2:14">
      <c r="D86" s="357">
        <f>IF(L86&lt;&gt;1,".",MAX(D$3:D85)+1)</f>
        <v>52</v>
      </c>
      <c r="E86" s="70" t="str">
        <f>_xlfn.CONCAT("Health Decrement in ", Setting!E16)</f>
        <v>Health Decrement in severe pneumonia</v>
      </c>
      <c r="F86" s="68" t="s">
        <v>199</v>
      </c>
      <c r="G86" s="126">
        <f t="shared" si="4"/>
        <v>0</v>
      </c>
      <c r="H86" s="456"/>
      <c r="I86" s="126"/>
      <c r="J86" s="152">
        <f t="shared" si="5"/>
        <v>0</v>
      </c>
      <c r="K86" s="290">
        <f t="shared" si="6"/>
        <v>0</v>
      </c>
      <c r="L86" s="126">
        <v>1</v>
      </c>
      <c r="N86" s="369" t="str">
        <f>_xlfn.CONCAT("Expected harmful effects from use of SF adulterated medicine in ", Setting!E16)</f>
        <v>Expected harmful effects from use of SF adulterated medicine in severe pneumonia</v>
      </c>
    </row>
    <row r="87" spans="2:14">
      <c r="D87" s="357">
        <f>IF(L87&lt;&gt;1,".",MAX(D$3:D86)+1)</f>
        <v>53</v>
      </c>
      <c r="E87" s="70" t="str">
        <f>_xlfn.CONCAT("Health Decrement in ", Setting!E17)</f>
        <v>Health Decrement in very severe pneumonia</v>
      </c>
      <c r="F87" s="68" t="s">
        <v>200</v>
      </c>
      <c r="G87" s="126">
        <f t="shared" si="4"/>
        <v>0</v>
      </c>
      <c r="H87" s="456"/>
      <c r="I87" s="126"/>
      <c r="J87" s="152">
        <f t="shared" si="5"/>
        <v>0</v>
      </c>
      <c r="K87" s="291">
        <f t="shared" si="6"/>
        <v>0</v>
      </c>
      <c r="L87" s="126">
        <v>1</v>
      </c>
      <c r="N87" s="369" t="str">
        <f>_xlfn.CONCAT("Expected harmful effects from use of SF adulterated medicine in ", Setting!E17)</f>
        <v>Expected harmful effects from use of SF adulterated medicine in very severe pneumonia</v>
      </c>
    </row>
    <row r="88" spans="2:14">
      <c r="D88" s="357">
        <f>IF(L88&lt;&gt;1,".",MAX(D$3:D87)+1)</f>
        <v>54</v>
      </c>
      <c r="E88" s="70" t="str">
        <f>_xlfn.CONCAT("Health Decrement in ", Setting!E18)</f>
        <v>Health Decrement in Custom 3</v>
      </c>
      <c r="F88" s="68" t="s">
        <v>201</v>
      </c>
      <c r="G88" s="126">
        <f t="shared" si="4"/>
        <v>0</v>
      </c>
      <c r="H88" s="456"/>
      <c r="I88" s="126"/>
      <c r="J88" s="152">
        <f t="shared" si="5"/>
        <v>0</v>
      </c>
      <c r="K88" s="292">
        <f t="shared" si="6"/>
        <v>0</v>
      </c>
      <c r="L88" s="126">
        <v>1</v>
      </c>
      <c r="N88" s="369" t="str">
        <f>_xlfn.CONCAT("Expected harmful effects from use of SF adulterated medicine in ", Setting!E18)</f>
        <v>Expected harmful effects from use of SF adulterated medicine in Custom 3</v>
      </c>
    </row>
    <row r="89" spans="2:14">
      <c r="D89" s="357">
        <f>IF(L89&lt;&gt;1,".",MAX(D$3:D88)+1)</f>
        <v>55</v>
      </c>
      <c r="E89" s="70" t="str">
        <f>_xlfn.CONCAT("Health Decrement in ", Setting!E19)</f>
        <v>Health Decrement in Custom 4</v>
      </c>
      <c r="F89" s="68" t="s">
        <v>202</v>
      </c>
      <c r="G89" s="126">
        <f t="shared" si="4"/>
        <v>0</v>
      </c>
      <c r="H89" s="456"/>
      <c r="I89" s="126"/>
      <c r="J89" s="153">
        <f t="shared" si="5"/>
        <v>0</v>
      </c>
      <c r="K89" s="147">
        <f t="shared" si="6"/>
        <v>0</v>
      </c>
      <c r="L89" s="126">
        <v>1</v>
      </c>
      <c r="N89" s="369" t="str">
        <f>_xlfn.CONCAT("Expected harmful effects from use of SF adulterated medicine in ", Setting!E19)</f>
        <v>Expected harmful effects from use of SF adulterated medicine in Custom 4</v>
      </c>
    </row>
    <row r="90" spans="2:14">
      <c r="D90" s="357" t="str">
        <f>IF(L90&lt;&gt;1,".",MAX(D$3:D89)+1)</f>
        <v>.</v>
      </c>
      <c r="E90" s="71"/>
      <c r="F90" s="72"/>
      <c r="G90" s="83"/>
      <c r="H90" s="83"/>
      <c r="I90" s="83"/>
      <c r="J90" s="83"/>
      <c r="K90" s="83"/>
      <c r="L90" s="259"/>
      <c r="M90" s="118"/>
      <c r="N90" s="370"/>
    </row>
    <row r="91" spans="2:14">
      <c r="D91" s="357" t="str">
        <f>IF(L91&lt;&gt;1,".",MAX(D$3:D90)+1)</f>
        <v>.</v>
      </c>
    </row>
    <row r="92" spans="2:14">
      <c r="D92" s="357" t="str">
        <f>IF(L92&lt;&gt;1,".",MAX(D$3:D91)+1)</f>
        <v>.</v>
      </c>
    </row>
    <row r="93" spans="2:14" s="378" customFormat="1">
      <c r="B93" s="377"/>
      <c r="D93" s="357" t="str">
        <f>IF(L93&lt;&gt;1,".",MAX(D$3:D92)+1)</f>
        <v>.</v>
      </c>
      <c r="E93" s="382" t="s">
        <v>203</v>
      </c>
      <c r="F93" s="353" t="s">
        <v>62</v>
      </c>
      <c r="G93" s="353" t="s">
        <v>63</v>
      </c>
      <c r="H93" s="353" t="s">
        <v>64</v>
      </c>
      <c r="I93" s="353" t="s">
        <v>65</v>
      </c>
      <c r="J93" s="569" t="s">
        <v>66</v>
      </c>
      <c r="K93" s="569"/>
      <c r="L93" s="260"/>
      <c r="M93" s="122" t="s">
        <v>68</v>
      </c>
      <c r="N93" s="383" t="s">
        <v>69</v>
      </c>
    </row>
    <row r="94" spans="2:14">
      <c r="D94" s="357" t="str">
        <f>IF(L94&lt;&gt;1,".",MAX(D$3:D93)+1)</f>
        <v>.</v>
      </c>
      <c r="E94" s="70"/>
      <c r="H94" s="132"/>
      <c r="I94" s="132"/>
      <c r="J94" s="83" t="s">
        <v>70</v>
      </c>
      <c r="K94" s="83" t="s">
        <v>71</v>
      </c>
      <c r="N94" s="369"/>
    </row>
    <row r="95" spans="2:14">
      <c r="B95" s="241"/>
      <c r="D95" s="357">
        <f>IF(L95&lt;&gt;1,".",MAX(D$3:D94)+1)</f>
        <v>56</v>
      </c>
      <c r="E95" s="70" t="s">
        <v>204</v>
      </c>
      <c r="F95" s="68" t="s">
        <v>205</v>
      </c>
      <c r="G95" s="127">
        <f t="shared" ref="G95:G100" si="7">IF(owsa_low=D95,J95,IF(owsa_high=D95,K95,IF(ISNUMBER(H95),H95,I95)))</f>
        <v>0</v>
      </c>
      <c r="H95" s="514"/>
      <c r="I95" s="127">
        <v>0</v>
      </c>
      <c r="J95" s="154"/>
      <c r="K95" s="127"/>
      <c r="L95" s="257">
        <v>1</v>
      </c>
      <c r="N95" s="369" t="s">
        <v>206</v>
      </c>
    </row>
    <row r="96" spans="2:14">
      <c r="B96" s="241"/>
      <c r="D96" s="357">
        <f>IF(L96&lt;&gt;1,".",MAX(D$3:D95)+1)</f>
        <v>57</v>
      </c>
      <c r="E96" s="70" t="str">
        <f>_xlfn.CONCAT("Average Unit Cost of ",Setting!E16," Management" )</f>
        <v>Average Unit Cost of severe pneumonia Management</v>
      </c>
      <c r="F96" s="68" t="s">
        <v>207</v>
      </c>
      <c r="G96" s="127">
        <f t="shared" si="7"/>
        <v>258.93</v>
      </c>
      <c r="H96" s="515">
        <v>258.93</v>
      </c>
      <c r="I96" s="127"/>
      <c r="J96" s="155">
        <v>95.23</v>
      </c>
      <c r="K96" s="148">
        <v>963.88</v>
      </c>
      <c r="L96" s="257">
        <v>1</v>
      </c>
      <c r="M96" s="468" t="s">
        <v>714</v>
      </c>
      <c r="N96" s="369" t="str">
        <f>_xlfn.CONCAT("National average Unit Cost of ",Setting!E16," Management" )</f>
        <v>National average Unit Cost of severe pneumonia Management</v>
      </c>
    </row>
    <row r="97" spans="2:14">
      <c r="B97" s="241"/>
      <c r="D97" s="357">
        <f>IF(L97&lt;&gt;1,".",MAX(D$3:D96)+1)</f>
        <v>58</v>
      </c>
      <c r="E97" s="70" t="str">
        <f>_xlfn.CONCAT("Average Unit Cost of ",Setting!E17," Management" )</f>
        <v>Average Unit Cost of very severe pneumonia Management</v>
      </c>
      <c r="F97" s="68" t="s">
        <v>208</v>
      </c>
      <c r="G97" s="127">
        <f t="shared" si="7"/>
        <v>849</v>
      </c>
      <c r="H97" s="514">
        <v>849</v>
      </c>
      <c r="I97" s="127"/>
      <c r="J97" s="156"/>
      <c r="K97" s="127"/>
      <c r="L97" s="257">
        <v>1</v>
      </c>
      <c r="M97" s="468" t="s">
        <v>701</v>
      </c>
      <c r="N97" s="369" t="str">
        <f>_xlfn.CONCAT("National average Unit Cost of ",Setting!E17," Management" )</f>
        <v>National average Unit Cost of very severe pneumonia Management</v>
      </c>
    </row>
    <row r="98" spans="2:14">
      <c r="B98" s="241"/>
      <c r="D98" s="357">
        <f>IF(L98&lt;&gt;1,".",MAX(D$3:D97)+1)</f>
        <v>59</v>
      </c>
      <c r="E98" s="70" t="str">
        <f>_xlfn.CONCAT("Average Unit Cost of ",Setting!E18," Management" )</f>
        <v>Average Unit Cost of Custom 3 Management</v>
      </c>
      <c r="F98" s="68" t="s">
        <v>209</v>
      </c>
      <c r="G98" s="127">
        <f t="shared" si="7"/>
        <v>0</v>
      </c>
      <c r="H98" s="515"/>
      <c r="I98" s="127"/>
      <c r="J98" s="155"/>
      <c r="K98" s="148"/>
      <c r="L98" s="257">
        <v>1</v>
      </c>
      <c r="N98" s="369" t="str">
        <f>_xlfn.CONCAT("National average Unit Cost of ",Setting!E18," Management" )</f>
        <v>National average Unit Cost of Custom 3 Management</v>
      </c>
    </row>
    <row r="99" spans="2:14">
      <c r="B99" s="241"/>
      <c r="D99" s="357">
        <f>IF(L99&lt;&gt;1,".",MAX(D$3:D98)+1)</f>
        <v>60</v>
      </c>
      <c r="E99" s="70" t="str">
        <f>_xlfn.CONCAT("Average Unit Cost of ",Setting!E19," Management" )</f>
        <v>Average Unit Cost of Custom 4 Management</v>
      </c>
      <c r="F99" s="68" t="s">
        <v>210</v>
      </c>
      <c r="G99" s="127">
        <f t="shared" si="7"/>
        <v>0</v>
      </c>
      <c r="H99" s="515"/>
      <c r="I99" s="127"/>
      <c r="J99" s="156"/>
      <c r="K99" s="127"/>
      <c r="L99" s="257">
        <v>1</v>
      </c>
      <c r="N99" s="369" t="str">
        <f>_xlfn.CONCAT("National average Unit Cost of ",Setting!E19," Management" )</f>
        <v>National average Unit Cost of Custom 4 Management</v>
      </c>
    </row>
    <row r="100" spans="2:14" ht="21" customHeight="1">
      <c r="B100" s="241"/>
      <c r="D100" s="357">
        <f>IF(L100&lt;&gt;1,".",MAX(D$3:D99)+1)</f>
        <v>61</v>
      </c>
      <c r="E100" s="70" t="str">
        <f>_xlfn.CONCAT("Median Daily Wage Rate in ",Setting!E22)</f>
        <v xml:space="preserve">Median Daily Wage Rate in </v>
      </c>
      <c r="F100" s="68" t="s">
        <v>211</v>
      </c>
      <c r="G100" s="127">
        <f t="shared" si="7"/>
        <v>5.8</v>
      </c>
      <c r="H100" s="514">
        <v>5.8</v>
      </c>
      <c r="I100" s="127"/>
      <c r="J100" s="155">
        <v>0.66</v>
      </c>
      <c r="K100" s="148">
        <v>20.63</v>
      </c>
      <c r="L100" s="257">
        <v>1</v>
      </c>
      <c r="M100" s="496" t="s">
        <v>664</v>
      </c>
      <c r="N100" s="359" t="s">
        <v>212</v>
      </c>
    </row>
    <row r="101" spans="2:14">
      <c r="B101" s="241"/>
      <c r="D101" s="357" t="str">
        <f>IF(L101&lt;&gt;1,".",MAX(D$3:D100)+1)</f>
        <v>.</v>
      </c>
      <c r="E101" s="71"/>
      <c r="F101" s="72"/>
      <c r="G101" s="83"/>
      <c r="H101" s="143"/>
      <c r="I101" s="143"/>
      <c r="J101" s="83"/>
      <c r="K101" s="83"/>
      <c r="L101" s="259"/>
      <c r="M101" s="118"/>
      <c r="N101" s="370"/>
    </row>
    <row r="102" spans="2:14">
      <c r="B102" s="241"/>
      <c r="D102" s="357" t="str">
        <f>IF(L102&lt;&gt;1,".",MAX(D$3:D101)+1)</f>
        <v>.</v>
      </c>
      <c r="H102" s="144"/>
      <c r="I102" s="144"/>
    </row>
    <row r="103" spans="2:14">
      <c r="B103" s="241"/>
      <c r="D103" s="357" t="str">
        <f>IF(L103&lt;&gt;1,".",MAX(D$3:D102)+1)</f>
        <v>.</v>
      </c>
      <c r="E103" s="81" t="s">
        <v>213</v>
      </c>
      <c r="H103" s="144"/>
      <c r="I103" s="144"/>
    </row>
    <row r="104" spans="2:14">
      <c r="B104" s="241"/>
      <c r="D104" s="357" t="str">
        <f>IF(L104&lt;&gt;1,".",MAX(D$3:D103)+1)</f>
        <v>.</v>
      </c>
      <c r="H104" s="144"/>
      <c r="I104" s="144"/>
    </row>
    <row r="105" spans="2:14" s="67" customFormat="1">
      <c r="B105" s="380"/>
      <c r="D105" s="357" t="str">
        <f>IF(L105&lt;&gt;1,".",MAX(D$3:D104)+1)</f>
        <v>.</v>
      </c>
      <c r="E105" s="379" t="s">
        <v>214</v>
      </c>
      <c r="F105" s="354" t="s">
        <v>62</v>
      </c>
      <c r="G105" s="354" t="s">
        <v>63</v>
      </c>
      <c r="H105" s="354" t="s">
        <v>64</v>
      </c>
      <c r="I105" s="354" t="s">
        <v>65</v>
      </c>
      <c r="J105" s="570" t="s">
        <v>66</v>
      </c>
      <c r="K105" s="570"/>
      <c r="L105" s="258"/>
      <c r="M105" s="117" t="s">
        <v>68</v>
      </c>
      <c r="N105" s="287" t="s">
        <v>69</v>
      </c>
    </row>
    <row r="106" spans="2:14">
      <c r="B106" s="241"/>
      <c r="D106" s="357" t="str">
        <f>IF(L106&lt;&gt;1,".",MAX(D$3:D105)+1)</f>
        <v>.</v>
      </c>
      <c r="E106" s="74" t="s">
        <v>215</v>
      </c>
      <c r="F106" s="75"/>
      <c r="G106" s="76"/>
      <c r="H106" s="76"/>
      <c r="I106" s="76"/>
      <c r="J106" s="76"/>
      <c r="K106" s="76"/>
      <c r="L106" s="140"/>
      <c r="M106" s="119"/>
      <c r="N106" s="372"/>
    </row>
    <row r="107" spans="2:14">
      <c r="B107" s="241"/>
      <c r="D107" s="357" t="str">
        <f>IF(L107&lt;&gt;1,".",MAX(D$3:D106)+1)</f>
        <v>.</v>
      </c>
      <c r="E107" s="73"/>
      <c r="J107" s="83" t="s">
        <v>70</v>
      </c>
      <c r="K107" s="83" t="s">
        <v>71</v>
      </c>
      <c r="N107" s="369"/>
    </row>
    <row r="108" spans="2:14">
      <c r="B108" s="242"/>
      <c r="D108" s="357">
        <f>IF(L108&lt;&gt;1,".",MAX(D$3:D107)+1)</f>
        <v>62</v>
      </c>
      <c r="E108" s="70" t="s">
        <v>216</v>
      </c>
      <c r="F108" s="68" t="s">
        <v>217</v>
      </c>
      <c r="G108" s="123">
        <f>IF(owsa_low=D108,J108,IF(owsa_high=D108,K108,IF(ISNUMBER(H108),H108,I108)))</f>
        <v>0.1</v>
      </c>
      <c r="H108" s="281"/>
      <c r="I108" s="123">
        <f>p_p1_ss1</f>
        <v>0.1</v>
      </c>
      <c r="J108" s="157">
        <f>$J$23</f>
        <v>0</v>
      </c>
      <c r="K108" s="157">
        <f>$K$23</f>
        <v>0.15</v>
      </c>
      <c r="L108" s="126">
        <v>1</v>
      </c>
      <c r="N108" s="369"/>
    </row>
    <row r="109" spans="2:14">
      <c r="B109" s="242"/>
      <c r="D109" s="357">
        <f>IF(L109&lt;&gt;1,".",MAX(D$3:D108)+1)</f>
        <v>63</v>
      </c>
      <c r="E109" s="70" t="s">
        <v>218</v>
      </c>
      <c r="F109" s="68" t="s">
        <v>219</v>
      </c>
      <c r="G109" s="123">
        <f t="shared" ref="G109:G131" si="8">IF(owsa_low=D109,J109,IF(owsa_high=D109,K109,IF(ISNUMBER(H109),H109,I109)))</f>
        <v>0</v>
      </c>
      <c r="H109" s="280"/>
      <c r="I109" s="123">
        <f>p_p1_ss2</f>
        <v>0</v>
      </c>
      <c r="J109" s="157">
        <f>$J$24</f>
        <v>0</v>
      </c>
      <c r="K109" s="157">
        <f>$K$24</f>
        <v>0</v>
      </c>
      <c r="L109" s="126">
        <v>1</v>
      </c>
      <c r="N109" s="369"/>
    </row>
    <row r="110" spans="2:14">
      <c r="B110" s="242"/>
      <c r="D110" s="357">
        <f>IF(L110&lt;&gt;1,".",MAX(D$3:D109)+1)</f>
        <v>64</v>
      </c>
      <c r="E110" s="70" t="s">
        <v>220</v>
      </c>
      <c r="F110" s="68" t="s">
        <v>221</v>
      </c>
      <c r="G110" s="123">
        <f t="shared" si="8"/>
        <v>6.2E-2</v>
      </c>
      <c r="H110" s="281"/>
      <c r="I110" s="123">
        <f>p_p1_f</f>
        <v>6.2E-2</v>
      </c>
      <c r="J110" s="157">
        <f>$J$25</f>
        <v>0</v>
      </c>
      <c r="K110" s="157">
        <f>$K$25</f>
        <v>0.08</v>
      </c>
      <c r="L110" s="126">
        <v>1</v>
      </c>
      <c r="N110" s="369"/>
    </row>
    <row r="111" spans="2:14">
      <c r="B111" s="242"/>
      <c r="D111" s="357">
        <f>IF(L111&lt;&gt;1,".",MAX(D$3:D110)+1)</f>
        <v>65</v>
      </c>
      <c r="E111" s="70" t="s">
        <v>222</v>
      </c>
      <c r="F111" s="68" t="s">
        <v>223</v>
      </c>
      <c r="G111" s="123">
        <f t="shared" si="8"/>
        <v>0.83799999999999997</v>
      </c>
      <c r="H111" s="280">
        <f>1-SUM(G108:G110)</f>
        <v>0.83799999999999997</v>
      </c>
      <c r="I111" s="123">
        <f>p_p1_st</f>
        <v>0.84</v>
      </c>
      <c r="J111" s="157">
        <f>1-SUM(K108:K110)</f>
        <v>0.77</v>
      </c>
      <c r="K111" s="157">
        <f>1-SUM(J108:J110)</f>
        <v>1</v>
      </c>
      <c r="L111" s="126">
        <v>1</v>
      </c>
      <c r="N111" s="369"/>
    </row>
    <row r="112" spans="2:14">
      <c r="B112" s="242"/>
      <c r="D112" s="357">
        <f>IF(L112&lt;&gt;1,".",MAX(D$3:D111)+1)</f>
        <v>66</v>
      </c>
      <c r="E112" s="70" t="s">
        <v>224</v>
      </c>
      <c r="F112" s="68" t="s">
        <v>225</v>
      </c>
      <c r="G112" s="123">
        <f t="shared" si="8"/>
        <v>0.1</v>
      </c>
      <c r="H112" s="280"/>
      <c r="I112" s="123">
        <f>p_p1_ss1</f>
        <v>0.1</v>
      </c>
      <c r="J112" s="157">
        <f>$J$23</f>
        <v>0</v>
      </c>
      <c r="K112" s="157">
        <f>$K$23</f>
        <v>0.15</v>
      </c>
      <c r="L112" s="126">
        <v>1</v>
      </c>
      <c r="N112" s="369"/>
    </row>
    <row r="113" spans="2:14">
      <c r="D113" s="357">
        <f>IF(L113&lt;&gt;1,".",MAX(D$3:D112)+1)</f>
        <v>67</v>
      </c>
      <c r="E113" s="70" t="s">
        <v>226</v>
      </c>
      <c r="F113" s="68" t="s">
        <v>227</v>
      </c>
      <c r="G113" s="123">
        <f t="shared" si="8"/>
        <v>0</v>
      </c>
      <c r="H113" s="281"/>
      <c r="I113" s="123">
        <f>p_p1_ss2</f>
        <v>0</v>
      </c>
      <c r="J113" s="157">
        <f>$J$24</f>
        <v>0</v>
      </c>
      <c r="K113" s="157">
        <f>$K$24</f>
        <v>0</v>
      </c>
      <c r="L113" s="126">
        <v>1</v>
      </c>
      <c r="N113" s="369"/>
    </row>
    <row r="114" spans="2:14">
      <c r="D114" s="357">
        <f>IF(L114&lt;&gt;1,".",MAX(D$3:D113)+1)</f>
        <v>68</v>
      </c>
      <c r="E114" s="70" t="s">
        <v>228</v>
      </c>
      <c r="F114" s="68" t="s">
        <v>229</v>
      </c>
      <c r="G114" s="123">
        <f t="shared" si="8"/>
        <v>6.2E-2</v>
      </c>
      <c r="H114" s="281"/>
      <c r="I114" s="123">
        <f>p_p1_f</f>
        <v>6.2E-2</v>
      </c>
      <c r="J114" s="157">
        <f>$J$25</f>
        <v>0</v>
      </c>
      <c r="K114" s="157">
        <f>$K$25</f>
        <v>0.08</v>
      </c>
      <c r="L114" s="126">
        <v>1</v>
      </c>
      <c r="N114" s="369"/>
    </row>
    <row r="115" spans="2:14">
      <c r="D115" s="357">
        <f>IF(L115&lt;&gt;1,".",MAX(D$3:D114)+1)</f>
        <v>69</v>
      </c>
      <c r="E115" s="70" t="s">
        <v>230</v>
      </c>
      <c r="F115" s="68" t="s">
        <v>231</v>
      </c>
      <c r="G115" s="123">
        <f t="shared" si="8"/>
        <v>0.83799999999999997</v>
      </c>
      <c r="H115" s="281">
        <f>1-SUM(G112:G114)</f>
        <v>0.83799999999999997</v>
      </c>
      <c r="I115" s="123">
        <f>p_p1_st</f>
        <v>0.84</v>
      </c>
      <c r="J115" s="157">
        <f>1-SUM(K112:K114)</f>
        <v>0.77</v>
      </c>
      <c r="K115" s="157">
        <f>1-SUM(J112:J114)</f>
        <v>1</v>
      </c>
      <c r="L115" s="126">
        <v>1</v>
      </c>
      <c r="N115" s="369"/>
    </row>
    <row r="116" spans="2:14">
      <c r="B116" s="242"/>
      <c r="D116" s="357">
        <f>IF(L116&lt;&gt;1,".",MAX(D$3:D115)+1)</f>
        <v>70</v>
      </c>
      <c r="E116" s="70" t="s">
        <v>232</v>
      </c>
      <c r="F116" s="68" t="s">
        <v>233</v>
      </c>
      <c r="G116" s="123">
        <f t="shared" si="8"/>
        <v>0.1</v>
      </c>
      <c r="H116" s="280"/>
      <c r="I116" s="123">
        <f>p_p1_ss1</f>
        <v>0.1</v>
      </c>
      <c r="J116" s="157">
        <f>$J$23</f>
        <v>0</v>
      </c>
      <c r="K116" s="157">
        <f>$K$23</f>
        <v>0.15</v>
      </c>
      <c r="L116" s="126">
        <v>1</v>
      </c>
      <c r="N116" s="369"/>
    </row>
    <row r="117" spans="2:14">
      <c r="D117" s="357">
        <f>IF(L117&lt;&gt;1,".",MAX(D$3:D116)+1)</f>
        <v>71</v>
      </c>
      <c r="E117" s="70" t="s">
        <v>234</v>
      </c>
      <c r="F117" s="68" t="s">
        <v>235</v>
      </c>
      <c r="G117" s="123">
        <f t="shared" si="8"/>
        <v>0</v>
      </c>
      <c r="H117" s="281"/>
      <c r="I117" s="123">
        <f>p_p1_ss2</f>
        <v>0</v>
      </c>
      <c r="J117" s="157">
        <f>$J$24</f>
        <v>0</v>
      </c>
      <c r="K117" s="157">
        <f>$K$24</f>
        <v>0</v>
      </c>
      <c r="L117" s="126">
        <v>1</v>
      </c>
      <c r="N117" s="369"/>
    </row>
    <row r="118" spans="2:14">
      <c r="D118" s="357">
        <f>IF(L118&lt;&gt;1,".",MAX(D$3:D117)+1)</f>
        <v>72</v>
      </c>
      <c r="E118" s="70" t="s">
        <v>236</v>
      </c>
      <c r="F118" s="68" t="s">
        <v>237</v>
      </c>
      <c r="G118" s="123">
        <f t="shared" si="8"/>
        <v>6.2E-2</v>
      </c>
      <c r="H118" s="280"/>
      <c r="I118" s="123">
        <f>p_p1_f</f>
        <v>6.2E-2</v>
      </c>
      <c r="J118" s="157">
        <f>$J$25</f>
        <v>0</v>
      </c>
      <c r="K118" s="157">
        <f>$K$25</f>
        <v>0.08</v>
      </c>
      <c r="L118" s="126">
        <v>1</v>
      </c>
      <c r="N118" s="369"/>
    </row>
    <row r="119" spans="2:14">
      <c r="D119" s="357">
        <f>IF(L119&lt;&gt;1,".",MAX(D$3:D118)+1)</f>
        <v>73</v>
      </c>
      <c r="E119" s="70" t="s">
        <v>238</v>
      </c>
      <c r="F119" s="68" t="s">
        <v>239</v>
      </c>
      <c r="G119" s="123">
        <f t="shared" si="8"/>
        <v>0.83799999999999997</v>
      </c>
      <c r="H119" s="462">
        <f>1-SUM(G116:G118)</f>
        <v>0.83799999999999997</v>
      </c>
      <c r="I119" s="123">
        <f>p_p1_st</f>
        <v>0.84</v>
      </c>
      <c r="J119" s="157">
        <f>1-SUM(K116:K118)</f>
        <v>0.77</v>
      </c>
      <c r="K119" s="157">
        <f>1-SUM(J116:J118)</f>
        <v>1</v>
      </c>
      <c r="L119" s="126">
        <v>1</v>
      </c>
      <c r="N119" s="369"/>
    </row>
    <row r="120" spans="2:14">
      <c r="D120" s="357">
        <f>IF(L120&lt;&gt;1,".",MAX(D$3:D119)+1)</f>
        <v>74</v>
      </c>
      <c r="E120" s="70" t="s">
        <v>240</v>
      </c>
      <c r="F120" s="68" t="s">
        <v>241</v>
      </c>
      <c r="G120" s="123">
        <f t="shared" si="8"/>
        <v>0.1</v>
      </c>
      <c r="H120" s="281"/>
      <c r="I120" s="123">
        <f>p_p1_ss1</f>
        <v>0.1</v>
      </c>
      <c r="J120" s="157">
        <f>$J$23</f>
        <v>0</v>
      </c>
      <c r="K120" s="157">
        <f>$K$23</f>
        <v>0.15</v>
      </c>
      <c r="L120" s="126">
        <v>1</v>
      </c>
      <c r="N120" s="369"/>
    </row>
    <row r="121" spans="2:14">
      <c r="D121" s="357">
        <f>IF(L121&lt;&gt;1,".",MAX(D$3:D120)+1)</f>
        <v>75</v>
      </c>
      <c r="E121" s="70" t="s">
        <v>242</v>
      </c>
      <c r="F121" s="68" t="s">
        <v>243</v>
      </c>
      <c r="G121" s="123">
        <f t="shared" si="8"/>
        <v>0</v>
      </c>
      <c r="H121" s="281"/>
      <c r="I121" s="123">
        <f>p_p1_ss2</f>
        <v>0</v>
      </c>
      <c r="J121" s="157">
        <f>$J$24</f>
        <v>0</v>
      </c>
      <c r="K121" s="157">
        <f>$K$24</f>
        <v>0</v>
      </c>
      <c r="L121" s="126">
        <v>1</v>
      </c>
      <c r="N121" s="369"/>
    </row>
    <row r="122" spans="2:14">
      <c r="D122" s="357">
        <f>IF(L122&lt;&gt;1,".",MAX(D$3:D121)+1)</f>
        <v>76</v>
      </c>
      <c r="E122" s="70" t="s">
        <v>244</v>
      </c>
      <c r="F122" s="68" t="s">
        <v>245</v>
      </c>
      <c r="G122" s="123">
        <f t="shared" si="8"/>
        <v>6.2E-2</v>
      </c>
      <c r="H122" s="281"/>
      <c r="I122" s="123">
        <f>p_p1_f</f>
        <v>6.2E-2</v>
      </c>
      <c r="J122" s="157">
        <f>$J$25</f>
        <v>0</v>
      </c>
      <c r="K122" s="157">
        <f>$K$25</f>
        <v>0.08</v>
      </c>
      <c r="L122" s="126">
        <v>1</v>
      </c>
      <c r="N122" s="369"/>
    </row>
    <row r="123" spans="2:14">
      <c r="D123" s="357">
        <f>IF(L123&lt;&gt;1,".",MAX(D$3:D122)+1)</f>
        <v>77</v>
      </c>
      <c r="E123" s="70" t="s">
        <v>246</v>
      </c>
      <c r="F123" s="68" t="s">
        <v>247</v>
      </c>
      <c r="G123" s="123">
        <f t="shared" si="8"/>
        <v>0.83799999999999997</v>
      </c>
      <c r="H123" s="462">
        <f>1-SUM(G120:G122)</f>
        <v>0.83799999999999997</v>
      </c>
      <c r="I123" s="123">
        <f>p_p1_st</f>
        <v>0.84</v>
      </c>
      <c r="J123" s="157">
        <f>1-SUM(K120:K122)</f>
        <v>0.77</v>
      </c>
      <c r="K123" s="157">
        <f>1-SUM(J120:J122)</f>
        <v>1</v>
      </c>
      <c r="L123" s="126">
        <v>1</v>
      </c>
      <c r="N123" s="369"/>
    </row>
    <row r="124" spans="2:14">
      <c r="D124" s="357">
        <f>IF(L124&lt;&gt;1,".",MAX(D$3:D123)+1)</f>
        <v>78</v>
      </c>
      <c r="E124" s="70" t="s">
        <v>248</v>
      </c>
      <c r="F124" s="68" t="s">
        <v>249</v>
      </c>
      <c r="G124" s="123">
        <f t="shared" si="8"/>
        <v>0.1</v>
      </c>
      <c r="H124" s="281"/>
      <c r="I124" s="123">
        <f>p_p1_ss1</f>
        <v>0.1</v>
      </c>
      <c r="J124" s="157">
        <f>$J$23</f>
        <v>0</v>
      </c>
      <c r="K124" s="157">
        <f>$K$23</f>
        <v>0.15</v>
      </c>
      <c r="L124" s="126">
        <v>1</v>
      </c>
      <c r="N124" s="369"/>
    </row>
    <row r="125" spans="2:14">
      <c r="D125" s="357">
        <f>IF(L125&lt;&gt;1,".",MAX(D$3:D124)+1)</f>
        <v>79</v>
      </c>
      <c r="E125" s="70" t="s">
        <v>250</v>
      </c>
      <c r="F125" s="68" t="s">
        <v>251</v>
      </c>
      <c r="G125" s="123">
        <f t="shared" si="8"/>
        <v>0</v>
      </c>
      <c r="H125" s="281"/>
      <c r="I125" s="123">
        <f>p_p1_ss2</f>
        <v>0</v>
      </c>
      <c r="J125" s="157">
        <f>$J$24</f>
        <v>0</v>
      </c>
      <c r="K125" s="157">
        <f>$K$24</f>
        <v>0</v>
      </c>
      <c r="L125" s="126">
        <v>1</v>
      </c>
      <c r="N125" s="369"/>
    </row>
    <row r="126" spans="2:14">
      <c r="D126" s="357">
        <f>IF(L126&lt;&gt;1,".",MAX(D$3:D125)+1)</f>
        <v>80</v>
      </c>
      <c r="E126" s="70" t="s">
        <v>252</v>
      </c>
      <c r="F126" s="68" t="s">
        <v>253</v>
      </c>
      <c r="G126" s="123">
        <f t="shared" si="8"/>
        <v>6.2E-2</v>
      </c>
      <c r="H126" s="280"/>
      <c r="I126" s="123">
        <f>p_p1_f</f>
        <v>6.2E-2</v>
      </c>
      <c r="J126" s="157">
        <f>$J$25</f>
        <v>0</v>
      </c>
      <c r="K126" s="157">
        <f>$K$25</f>
        <v>0.08</v>
      </c>
      <c r="L126" s="126">
        <v>1</v>
      </c>
      <c r="N126" s="369"/>
    </row>
    <row r="127" spans="2:14">
      <c r="D127" s="357">
        <f>IF(L127&lt;&gt;1,".",MAX(D$3:D126)+1)</f>
        <v>81</v>
      </c>
      <c r="E127" s="70" t="s">
        <v>254</v>
      </c>
      <c r="F127" s="68" t="s">
        <v>255</v>
      </c>
      <c r="G127" s="123">
        <f t="shared" si="8"/>
        <v>0.83799999999999997</v>
      </c>
      <c r="H127" s="281">
        <f>1-SUM(G124:G126)</f>
        <v>0.83799999999999997</v>
      </c>
      <c r="I127" s="123">
        <f>p_p1_st</f>
        <v>0.84</v>
      </c>
      <c r="J127" s="157">
        <f>1-SUM(K124:K126)</f>
        <v>0.77</v>
      </c>
      <c r="K127" s="157">
        <f>1-SUM(J124:J126)</f>
        <v>1</v>
      </c>
      <c r="L127" s="126">
        <v>1</v>
      </c>
      <c r="N127" s="369"/>
    </row>
    <row r="128" spans="2:14">
      <c r="D128" s="357">
        <f>IF(L128&lt;&gt;1,".",MAX(D$3:D127)+1)</f>
        <v>82</v>
      </c>
      <c r="E128" s="70" t="s">
        <v>256</v>
      </c>
      <c r="F128" s="68" t="s">
        <v>257</v>
      </c>
      <c r="G128" s="123">
        <f t="shared" si="8"/>
        <v>0.1</v>
      </c>
      <c r="H128" s="280"/>
      <c r="I128" s="123">
        <f>p_p1_ss1</f>
        <v>0.1</v>
      </c>
      <c r="J128" s="157">
        <f>$J$23</f>
        <v>0</v>
      </c>
      <c r="K128" s="157">
        <f>$K$23</f>
        <v>0.15</v>
      </c>
      <c r="L128" s="126">
        <v>1</v>
      </c>
      <c r="N128" s="369"/>
    </row>
    <row r="129" spans="2:14">
      <c r="D129" s="357">
        <f>IF(L129&lt;&gt;1,".",MAX(D$3:D128)+1)</f>
        <v>83</v>
      </c>
      <c r="E129" s="70" t="s">
        <v>258</v>
      </c>
      <c r="F129" s="68" t="s">
        <v>259</v>
      </c>
      <c r="G129" s="123">
        <f t="shared" si="8"/>
        <v>0</v>
      </c>
      <c r="H129" s="280"/>
      <c r="I129" s="123">
        <f>p_p1_ss2</f>
        <v>0</v>
      </c>
      <c r="J129" s="157">
        <f>$J$24</f>
        <v>0</v>
      </c>
      <c r="K129" s="157">
        <f>$K$24</f>
        <v>0</v>
      </c>
      <c r="L129" s="126">
        <v>1</v>
      </c>
      <c r="N129" s="369"/>
    </row>
    <row r="130" spans="2:14">
      <c r="D130" s="357">
        <f>IF(L130&lt;&gt;1,".",MAX(D$3:D129)+1)</f>
        <v>84</v>
      </c>
      <c r="E130" s="70" t="s">
        <v>260</v>
      </c>
      <c r="F130" s="68" t="s">
        <v>261</v>
      </c>
      <c r="G130" s="123">
        <f t="shared" si="8"/>
        <v>6.2E-2</v>
      </c>
      <c r="H130" s="281"/>
      <c r="I130" s="123">
        <f>p_p1_f</f>
        <v>6.2E-2</v>
      </c>
      <c r="J130" s="157">
        <f>$J$25</f>
        <v>0</v>
      </c>
      <c r="K130" s="157">
        <f>$K$25</f>
        <v>0.08</v>
      </c>
      <c r="L130" s="126">
        <v>1</v>
      </c>
      <c r="N130" s="369"/>
    </row>
    <row r="131" spans="2:14">
      <c r="D131" s="357">
        <f>IF(L131&lt;&gt;1,".",MAX(D$3:D130)+1)</f>
        <v>85</v>
      </c>
      <c r="E131" s="70" t="s">
        <v>262</v>
      </c>
      <c r="F131" s="68" t="s">
        <v>263</v>
      </c>
      <c r="G131" s="123">
        <f t="shared" si="8"/>
        <v>0.83799999999999997</v>
      </c>
      <c r="H131" s="281">
        <f>1-SUM(G128:G130)</f>
        <v>0.83799999999999997</v>
      </c>
      <c r="I131" s="123">
        <f>p_p1_st</f>
        <v>0.84</v>
      </c>
      <c r="J131" s="157">
        <f>1-SUM(K128:K130)</f>
        <v>0.77</v>
      </c>
      <c r="K131" s="157">
        <f>1-SUM(J128:J130)</f>
        <v>1</v>
      </c>
      <c r="L131" s="126">
        <v>1</v>
      </c>
      <c r="N131" s="369"/>
    </row>
    <row r="132" spans="2:14">
      <c r="B132" s="242"/>
      <c r="D132" s="357" t="str">
        <f>IF(L132&lt;&gt;1,".",MAX(D$3:D131)+1)</f>
        <v>.</v>
      </c>
      <c r="E132" s="70"/>
      <c r="G132" s="123"/>
      <c r="H132" s="123"/>
      <c r="I132" s="123"/>
      <c r="J132" s="145"/>
      <c r="K132" s="145"/>
      <c r="N132" s="369"/>
    </row>
    <row r="133" spans="2:14">
      <c r="B133" s="242"/>
      <c r="D133" s="357" t="str">
        <f>IF(L133&lt;&gt;1,".",MAX(D$3:D132)+1)</f>
        <v>.</v>
      </c>
      <c r="E133" s="74" t="s">
        <v>264</v>
      </c>
      <c r="F133" s="75"/>
      <c r="G133" s="76"/>
      <c r="H133" s="76"/>
      <c r="I133" s="76"/>
      <c r="J133" s="76"/>
      <c r="K133" s="76"/>
      <c r="L133" s="140"/>
      <c r="M133" s="119"/>
      <c r="N133" s="372"/>
    </row>
    <row r="134" spans="2:14">
      <c r="B134" s="242"/>
      <c r="D134" s="357" t="str">
        <f>IF(L134&lt;&gt;1,".",MAX(D$3:D133)+1)</f>
        <v>.</v>
      </c>
      <c r="E134" s="73"/>
      <c r="J134" s="83" t="s">
        <v>70</v>
      </c>
      <c r="K134" s="83" t="s">
        <v>71</v>
      </c>
      <c r="N134" s="369"/>
    </row>
    <row r="135" spans="2:14">
      <c r="B135" s="242"/>
      <c r="D135" s="357">
        <f>IF(L135&lt;&gt;1,".",MAX(D$3:D134)+1)</f>
        <v>86</v>
      </c>
      <c r="E135" s="70" t="s">
        <v>265</v>
      </c>
      <c r="F135" s="68" t="s">
        <v>266</v>
      </c>
      <c r="G135" s="123">
        <f t="shared" ref="G135:G158" si="9">IF(owsa_low=D135,J135,IF(owsa_high=D135,K135,IF(ISNUMBER(H135),H135,I135)))</f>
        <v>0</v>
      </c>
      <c r="H135" s="280">
        <v>0</v>
      </c>
      <c r="I135" s="123">
        <v>0</v>
      </c>
      <c r="J135" s="157"/>
      <c r="K135" s="145"/>
      <c r="L135" s="126">
        <v>1</v>
      </c>
      <c r="N135" s="369"/>
    </row>
    <row r="136" spans="2:14">
      <c r="B136" s="242"/>
      <c r="D136" s="357">
        <f>IF(L136&lt;&gt;1,".",MAX(D$3:D135)+1)</f>
        <v>87</v>
      </c>
      <c r="E136" s="70" t="s">
        <v>267</v>
      </c>
      <c r="F136" s="68" t="s">
        <v>268</v>
      </c>
      <c r="G136" s="123">
        <f t="shared" si="9"/>
        <v>0</v>
      </c>
      <c r="H136" s="281">
        <v>0</v>
      </c>
      <c r="I136" s="123">
        <v>0</v>
      </c>
      <c r="J136" s="157"/>
      <c r="K136" s="294"/>
      <c r="L136" s="126">
        <v>1</v>
      </c>
      <c r="N136" s="369"/>
    </row>
    <row r="137" spans="2:14">
      <c r="B137" s="242"/>
      <c r="D137" s="357">
        <f>IF(L137&lt;&gt;1,".",MAX(D$3:D136)+1)</f>
        <v>88</v>
      </c>
      <c r="E137" s="70" t="s">
        <v>269</v>
      </c>
      <c r="F137" s="68" t="s">
        <v>270</v>
      </c>
      <c r="G137" s="123">
        <f t="shared" si="9"/>
        <v>0</v>
      </c>
      <c r="H137" s="280">
        <v>0</v>
      </c>
      <c r="I137" s="123">
        <v>0</v>
      </c>
      <c r="J137" s="157"/>
      <c r="K137" s="294"/>
      <c r="L137" s="126">
        <v>1</v>
      </c>
      <c r="N137" s="369"/>
    </row>
    <row r="138" spans="2:14">
      <c r="B138" s="242"/>
      <c r="D138" s="357">
        <f>IF(L138&lt;&gt;1,".",MAX(D$3:D137)+1)</f>
        <v>89</v>
      </c>
      <c r="E138" s="70" t="s">
        <v>271</v>
      </c>
      <c r="F138" s="68" t="s">
        <v>272</v>
      </c>
      <c r="G138" s="123">
        <f t="shared" si="9"/>
        <v>1</v>
      </c>
      <c r="H138" s="280">
        <v>1</v>
      </c>
      <c r="I138" s="123">
        <v>1</v>
      </c>
      <c r="J138" s="157"/>
      <c r="K138" s="294"/>
      <c r="L138" s="126">
        <v>1</v>
      </c>
      <c r="N138" s="369"/>
    </row>
    <row r="139" spans="2:14">
      <c r="B139" s="242"/>
      <c r="D139" s="357">
        <f>IF(L139&lt;&gt;1,".",MAX(D$3:D138)+1)</f>
        <v>90</v>
      </c>
      <c r="E139" s="70" t="s">
        <v>273</v>
      </c>
      <c r="F139" s="68" t="s">
        <v>274</v>
      </c>
      <c r="G139" s="123">
        <f t="shared" si="9"/>
        <v>0</v>
      </c>
      <c r="H139" s="280">
        <v>0</v>
      </c>
      <c r="I139" s="123">
        <v>0</v>
      </c>
      <c r="J139" s="157"/>
      <c r="K139" s="145"/>
      <c r="L139" s="126">
        <v>1</v>
      </c>
      <c r="N139" s="369"/>
    </row>
    <row r="140" spans="2:14">
      <c r="B140" s="242"/>
      <c r="D140" s="357">
        <f>IF(L140&lt;&gt;1,".",MAX(D$3:D139)+1)</f>
        <v>91</v>
      </c>
      <c r="E140" s="70" t="s">
        <v>275</v>
      </c>
      <c r="F140" s="68" t="s">
        <v>276</v>
      </c>
      <c r="G140" s="123">
        <f t="shared" si="9"/>
        <v>0</v>
      </c>
      <c r="H140" s="281">
        <v>0</v>
      </c>
      <c r="I140" s="123">
        <v>0</v>
      </c>
      <c r="J140" s="157"/>
      <c r="K140" s="294"/>
      <c r="L140" s="126">
        <v>1</v>
      </c>
      <c r="N140" s="369"/>
    </row>
    <row r="141" spans="2:14">
      <c r="B141" s="242"/>
      <c r="D141" s="357">
        <f>IF(L141&lt;&gt;1,".",MAX(D$3:D140)+1)</f>
        <v>92</v>
      </c>
      <c r="E141" s="70" t="s">
        <v>277</v>
      </c>
      <c r="F141" s="68" t="s">
        <v>278</v>
      </c>
      <c r="G141" s="123">
        <f t="shared" si="9"/>
        <v>0</v>
      </c>
      <c r="H141" s="280">
        <v>0</v>
      </c>
      <c r="I141" s="123">
        <v>0</v>
      </c>
      <c r="J141" s="157"/>
      <c r="K141" s="145"/>
      <c r="L141" s="126">
        <v>1</v>
      </c>
      <c r="N141" s="369"/>
    </row>
    <row r="142" spans="2:14" ht="16" customHeight="1">
      <c r="B142" s="242"/>
      <c r="D142" s="357">
        <f>IF(L142&lt;&gt;1,".",MAX(D$3:D141)+1)</f>
        <v>93</v>
      </c>
      <c r="E142" s="70" t="s">
        <v>279</v>
      </c>
      <c r="F142" s="68" t="s">
        <v>280</v>
      </c>
      <c r="G142" s="123">
        <f t="shared" si="9"/>
        <v>1</v>
      </c>
      <c r="H142" s="281">
        <v>1</v>
      </c>
      <c r="I142" s="123">
        <f>1-(I139+I140+I141)</f>
        <v>1</v>
      </c>
      <c r="J142" s="157"/>
      <c r="K142" s="294"/>
      <c r="L142" s="126">
        <v>1</v>
      </c>
      <c r="N142" s="369"/>
    </row>
    <row r="143" spans="2:14">
      <c r="B143" s="242"/>
      <c r="D143" s="357">
        <f>IF(L143&lt;&gt;1,".",MAX(D$3:D142)+1)</f>
        <v>94</v>
      </c>
      <c r="E143" s="70" t="s">
        <v>281</v>
      </c>
      <c r="F143" s="68" t="s">
        <v>282</v>
      </c>
      <c r="G143" s="123">
        <f t="shared" si="9"/>
        <v>0</v>
      </c>
      <c r="H143" s="280">
        <v>0</v>
      </c>
      <c r="I143" s="123">
        <v>0</v>
      </c>
      <c r="J143" s="157"/>
      <c r="K143" s="145"/>
      <c r="L143" s="126">
        <v>1</v>
      </c>
      <c r="N143" s="369"/>
    </row>
    <row r="144" spans="2:14">
      <c r="D144" s="357">
        <f>IF(L144&lt;&gt;1,".",MAX(D$3:D143)+1)</f>
        <v>95</v>
      </c>
      <c r="E144" s="70" t="s">
        <v>283</v>
      </c>
      <c r="F144" s="68" t="s">
        <v>284</v>
      </c>
      <c r="G144" s="123">
        <f t="shared" si="9"/>
        <v>0</v>
      </c>
      <c r="H144" s="281">
        <v>0</v>
      </c>
      <c r="I144" s="123">
        <v>0</v>
      </c>
      <c r="J144" s="157"/>
      <c r="K144" s="294"/>
      <c r="L144" s="126">
        <v>1</v>
      </c>
      <c r="N144" s="369"/>
    </row>
    <row r="145" spans="2:14">
      <c r="D145" s="357">
        <f>IF(L145&lt;&gt;1,".",MAX(D$3:D144)+1)</f>
        <v>96</v>
      </c>
      <c r="E145" s="70" t="s">
        <v>285</v>
      </c>
      <c r="F145" s="68" t="s">
        <v>286</v>
      </c>
      <c r="G145" s="123">
        <f t="shared" si="9"/>
        <v>0</v>
      </c>
      <c r="H145" s="280">
        <v>0</v>
      </c>
      <c r="I145" s="123">
        <v>0</v>
      </c>
      <c r="J145" s="157"/>
      <c r="K145" s="145"/>
      <c r="L145" s="126">
        <v>1</v>
      </c>
      <c r="N145" s="369"/>
    </row>
    <row r="146" spans="2:14">
      <c r="D146" s="357">
        <f>IF(L146&lt;&gt;1,".",MAX(D$3:D145)+1)</f>
        <v>97</v>
      </c>
      <c r="E146" s="70" t="s">
        <v>287</v>
      </c>
      <c r="F146" s="68" t="s">
        <v>288</v>
      </c>
      <c r="G146" s="123">
        <f t="shared" si="9"/>
        <v>1</v>
      </c>
      <c r="H146" s="280">
        <v>1</v>
      </c>
      <c r="I146" s="123">
        <f>1-(I143+I144+I145)</f>
        <v>1</v>
      </c>
      <c r="J146" s="157"/>
      <c r="K146" s="294"/>
      <c r="L146" s="126">
        <v>1</v>
      </c>
      <c r="N146" s="369"/>
    </row>
    <row r="147" spans="2:14" ht="16" customHeight="1">
      <c r="B147" s="242"/>
      <c r="D147" s="357">
        <f>IF(L147&lt;&gt;1,".",MAX(D$3:D146)+1)</f>
        <v>98</v>
      </c>
      <c r="E147" s="70" t="s">
        <v>289</v>
      </c>
      <c r="F147" s="68" t="s">
        <v>290</v>
      </c>
      <c r="G147" s="123">
        <f t="shared" si="9"/>
        <v>0</v>
      </c>
      <c r="H147" s="281">
        <v>0</v>
      </c>
      <c r="I147" s="123">
        <v>0</v>
      </c>
      <c r="J147" s="157"/>
      <c r="K147" s="145"/>
      <c r="L147" s="126">
        <v>1</v>
      </c>
      <c r="N147" s="369"/>
    </row>
    <row r="148" spans="2:14" ht="16" customHeight="1">
      <c r="B148" s="242"/>
      <c r="D148" s="357">
        <f>IF(L148&lt;&gt;1,".",MAX(D$3:D147)+1)</f>
        <v>99</v>
      </c>
      <c r="E148" s="70" t="s">
        <v>291</v>
      </c>
      <c r="F148" s="68" t="s">
        <v>292</v>
      </c>
      <c r="G148" s="123">
        <f t="shared" si="9"/>
        <v>0</v>
      </c>
      <c r="H148" s="281">
        <v>0</v>
      </c>
      <c r="I148" s="123">
        <v>0</v>
      </c>
      <c r="J148" s="157"/>
      <c r="K148" s="294"/>
      <c r="L148" s="126">
        <v>1</v>
      </c>
      <c r="N148" s="369"/>
    </row>
    <row r="149" spans="2:14">
      <c r="B149" s="241"/>
      <c r="D149" s="357">
        <f>IF(L149&lt;&gt;1,".",MAX(D$3:D148)+1)</f>
        <v>100</v>
      </c>
      <c r="E149" s="70" t="s">
        <v>293</v>
      </c>
      <c r="F149" s="68" t="s">
        <v>294</v>
      </c>
      <c r="G149" s="123">
        <f t="shared" si="9"/>
        <v>0</v>
      </c>
      <c r="H149" s="281">
        <v>0</v>
      </c>
      <c r="I149" s="123">
        <v>0</v>
      </c>
      <c r="J149" s="157"/>
      <c r="K149" s="145"/>
      <c r="L149" s="126">
        <v>1</v>
      </c>
      <c r="N149" s="369"/>
    </row>
    <row r="150" spans="2:14">
      <c r="B150" s="241"/>
      <c r="D150" s="357">
        <f>IF(L150&lt;&gt;1,".",MAX(D$3:D149)+1)</f>
        <v>101</v>
      </c>
      <c r="E150" s="70" t="s">
        <v>295</v>
      </c>
      <c r="F150" s="68" t="s">
        <v>296</v>
      </c>
      <c r="G150" s="123">
        <f t="shared" si="9"/>
        <v>1</v>
      </c>
      <c r="H150" s="280">
        <v>1</v>
      </c>
      <c r="I150" s="123">
        <f>1-(I147+I148+I149)</f>
        <v>1</v>
      </c>
      <c r="J150" s="157"/>
      <c r="K150" s="294"/>
      <c r="L150" s="126">
        <v>1</v>
      </c>
      <c r="N150" s="369"/>
    </row>
    <row r="151" spans="2:14">
      <c r="B151" s="241"/>
      <c r="D151" s="357">
        <f>IF(L151&lt;&gt;1,".",MAX(D$3:D150)+1)</f>
        <v>102</v>
      </c>
      <c r="E151" s="70" t="s">
        <v>297</v>
      </c>
      <c r="F151" s="68" t="s">
        <v>298</v>
      </c>
      <c r="G151" s="123">
        <f t="shared" si="9"/>
        <v>0</v>
      </c>
      <c r="H151" s="281">
        <v>0</v>
      </c>
      <c r="I151" s="123">
        <v>0</v>
      </c>
      <c r="J151" s="157"/>
      <c r="K151" s="145"/>
      <c r="L151" s="126">
        <v>1</v>
      </c>
      <c r="N151" s="369"/>
    </row>
    <row r="152" spans="2:14">
      <c r="B152" s="241"/>
      <c r="D152" s="357">
        <f>IF(L152&lt;&gt;1,".",MAX(D$3:D151)+1)</f>
        <v>103</v>
      </c>
      <c r="E152" s="70" t="s">
        <v>299</v>
      </c>
      <c r="F152" s="68" t="s">
        <v>300</v>
      </c>
      <c r="G152" s="123">
        <f t="shared" si="9"/>
        <v>0</v>
      </c>
      <c r="H152" s="281">
        <v>0</v>
      </c>
      <c r="I152" s="123">
        <v>0</v>
      </c>
      <c r="J152" s="157"/>
      <c r="K152" s="294"/>
      <c r="L152" s="126">
        <v>1</v>
      </c>
      <c r="N152" s="369"/>
    </row>
    <row r="153" spans="2:14">
      <c r="B153" s="241"/>
      <c r="D153" s="357">
        <f>IF(L153&lt;&gt;1,".",MAX(D$3:D152)+1)</f>
        <v>104</v>
      </c>
      <c r="E153" s="70" t="s">
        <v>301</v>
      </c>
      <c r="F153" s="68" t="s">
        <v>302</v>
      </c>
      <c r="G153" s="123">
        <f t="shared" si="9"/>
        <v>0</v>
      </c>
      <c r="H153" s="280">
        <v>0</v>
      </c>
      <c r="I153" s="123">
        <v>0</v>
      </c>
      <c r="J153" s="157"/>
      <c r="K153" s="145"/>
      <c r="L153" s="126">
        <v>1</v>
      </c>
      <c r="N153" s="369"/>
    </row>
    <row r="154" spans="2:14">
      <c r="B154" s="241"/>
      <c r="D154" s="357">
        <f>IF(L154&lt;&gt;1,".",MAX(D$3:D153)+1)</f>
        <v>105</v>
      </c>
      <c r="E154" s="70" t="s">
        <v>303</v>
      </c>
      <c r="F154" s="68" t="s">
        <v>304</v>
      </c>
      <c r="G154" s="123">
        <f t="shared" si="9"/>
        <v>1</v>
      </c>
      <c r="H154" s="281">
        <v>1</v>
      </c>
      <c r="I154" s="123">
        <f>1-(I151+I152+I153)</f>
        <v>1</v>
      </c>
      <c r="J154" s="157"/>
      <c r="K154" s="294"/>
      <c r="L154" s="126">
        <v>1</v>
      </c>
      <c r="N154" s="369"/>
    </row>
    <row r="155" spans="2:14">
      <c r="B155" s="241"/>
      <c r="D155" s="357">
        <f>IF(L155&lt;&gt;1,".",MAX(D$3:D154)+1)</f>
        <v>106</v>
      </c>
      <c r="E155" s="70" t="s">
        <v>305</v>
      </c>
      <c r="F155" s="68" t="s">
        <v>306</v>
      </c>
      <c r="G155" s="123">
        <f t="shared" si="9"/>
        <v>0</v>
      </c>
      <c r="H155" s="280">
        <v>0</v>
      </c>
      <c r="I155" s="123">
        <v>0</v>
      </c>
      <c r="J155" s="157"/>
      <c r="K155" s="145"/>
      <c r="L155" s="126">
        <v>1</v>
      </c>
      <c r="N155" s="369"/>
    </row>
    <row r="156" spans="2:14">
      <c r="B156" s="242"/>
      <c r="D156" s="357">
        <f>IF(L156&lt;&gt;1,".",MAX(D$3:D155)+1)</f>
        <v>107</v>
      </c>
      <c r="E156" s="70" t="s">
        <v>307</v>
      </c>
      <c r="F156" s="68" t="s">
        <v>308</v>
      </c>
      <c r="G156" s="123">
        <f t="shared" si="9"/>
        <v>0</v>
      </c>
      <c r="H156" s="280">
        <v>0</v>
      </c>
      <c r="I156" s="123">
        <v>0</v>
      </c>
      <c r="J156" s="157"/>
      <c r="K156" s="294"/>
      <c r="L156" s="126">
        <v>1</v>
      </c>
      <c r="N156" s="369"/>
    </row>
    <row r="157" spans="2:14">
      <c r="D157" s="357">
        <f>IF(L157&lt;&gt;1,".",MAX(D$3:D156)+1)</f>
        <v>108</v>
      </c>
      <c r="E157" s="70" t="s">
        <v>309</v>
      </c>
      <c r="F157" s="68" t="s">
        <v>310</v>
      </c>
      <c r="G157" s="123">
        <f t="shared" si="9"/>
        <v>0</v>
      </c>
      <c r="H157" s="280">
        <v>0</v>
      </c>
      <c r="I157" s="123">
        <v>0</v>
      </c>
      <c r="J157" s="157"/>
      <c r="K157" s="294"/>
      <c r="L157" s="126">
        <v>1</v>
      </c>
      <c r="N157" s="369"/>
    </row>
    <row r="158" spans="2:14">
      <c r="D158" s="357">
        <f>IF(L158&lt;&gt;1,".",MAX(D$3:D157)+1)</f>
        <v>109</v>
      </c>
      <c r="E158" s="70" t="s">
        <v>311</v>
      </c>
      <c r="F158" s="68" t="s">
        <v>312</v>
      </c>
      <c r="G158" s="123">
        <f t="shared" si="9"/>
        <v>1</v>
      </c>
      <c r="H158" s="281">
        <v>1</v>
      </c>
      <c r="I158" s="123">
        <v>1</v>
      </c>
      <c r="J158" s="293"/>
      <c r="K158" s="295"/>
      <c r="L158" s="126">
        <v>1</v>
      </c>
      <c r="N158" s="369"/>
    </row>
    <row r="159" spans="2:14">
      <c r="D159" s="357" t="str">
        <f>IF(L159&lt;&gt;1,".",MAX(D$3:D158)+1)</f>
        <v>.</v>
      </c>
      <c r="E159" s="71"/>
      <c r="F159" s="72"/>
      <c r="G159" s="83"/>
      <c r="H159" s="83"/>
      <c r="I159" s="83"/>
      <c r="J159" s="83"/>
      <c r="K159" s="83"/>
      <c r="L159" s="259"/>
      <c r="M159" s="118"/>
      <c r="N159" s="370"/>
    </row>
    <row r="160" spans="2:14">
      <c r="D160" s="357" t="str">
        <f>IF(L160&lt;&gt;1,".",MAX(D$3:D159)+1)</f>
        <v>.</v>
      </c>
      <c r="H160" s="132"/>
      <c r="I160" s="132"/>
    </row>
    <row r="161" spans="2:14" s="67" customFormat="1">
      <c r="B161" s="384"/>
      <c r="D161" s="357" t="str">
        <f>IF(L161&lt;&gt;1,".",MAX(D$3:D160)+1)</f>
        <v>.</v>
      </c>
      <c r="E161" s="379" t="s">
        <v>313</v>
      </c>
      <c r="F161" s="354" t="s">
        <v>62</v>
      </c>
      <c r="G161" s="354" t="s">
        <v>63</v>
      </c>
      <c r="H161" s="354" t="s">
        <v>64</v>
      </c>
      <c r="I161" s="354" t="s">
        <v>65</v>
      </c>
      <c r="J161" s="354" t="s">
        <v>66</v>
      </c>
      <c r="K161" s="354"/>
      <c r="L161" s="258"/>
      <c r="M161" s="117" t="s">
        <v>68</v>
      </c>
      <c r="N161" s="287" t="s">
        <v>69</v>
      </c>
    </row>
    <row r="162" spans="2:14">
      <c r="D162" s="357" t="str">
        <f>IF(L162&lt;&gt;1,".",MAX(D$3:D161)+1)</f>
        <v>.</v>
      </c>
      <c r="E162" s="73"/>
      <c r="H162" s="132"/>
      <c r="I162" s="132"/>
      <c r="J162" s="83" t="s">
        <v>70</v>
      </c>
      <c r="K162" s="83" t="s">
        <v>71</v>
      </c>
      <c r="N162" s="369"/>
    </row>
    <row r="163" spans="2:14">
      <c r="D163" s="357">
        <f>IF(L163&lt;&gt;1,".",MAX(D$3:D162)+1)</f>
        <v>110</v>
      </c>
      <c r="E163" s="70" t="s">
        <v>314</v>
      </c>
      <c r="F163" s="68" t="s">
        <v>315</v>
      </c>
      <c r="G163" s="123">
        <f>IF(owsa_low=D163,J163,IF(owsa_high=D163,K163,IF(ISNUMBER(H163),H163,I163)))</f>
        <v>0</v>
      </c>
      <c r="H163" s="279"/>
      <c r="I163" s="123"/>
      <c r="J163" s="150">
        <f>G163*0.8</f>
        <v>0</v>
      </c>
      <c r="K163" s="123">
        <f>G163*1.2</f>
        <v>0</v>
      </c>
      <c r="L163" s="135">
        <v>1</v>
      </c>
      <c r="N163" s="369"/>
    </row>
    <row r="164" spans="2:14">
      <c r="D164" s="357">
        <f>IF(L164&lt;&gt;1,".",MAX(D$3:D163)+1)</f>
        <v>111</v>
      </c>
      <c r="E164" s="70" t="s">
        <v>316</v>
      </c>
      <c r="F164" s="68" t="s">
        <v>317</v>
      </c>
      <c r="G164" s="123">
        <f>IF(owsa_low=D164,J164,IF(owsa_high=D164,K164,IF(ISNUMBER(H164),H164,I164)))</f>
        <v>0</v>
      </c>
      <c r="H164" s="280"/>
      <c r="I164" s="123"/>
      <c r="J164" s="150">
        <f t="shared" ref="J164:J165" si="10">G164*0.8</f>
        <v>0</v>
      </c>
      <c r="K164" s="133">
        <f t="shared" ref="K164:K165" si="11">G164*1.2</f>
        <v>0</v>
      </c>
      <c r="L164" s="135">
        <v>1</v>
      </c>
      <c r="N164" s="369"/>
    </row>
    <row r="165" spans="2:14">
      <c r="D165" s="357">
        <f>IF(L165&lt;&gt;1,".",MAX(D$3:D164)+1)</f>
        <v>112</v>
      </c>
      <c r="E165" s="70" t="s">
        <v>318</v>
      </c>
      <c r="F165" s="68" t="s">
        <v>319</v>
      </c>
      <c r="G165" s="123">
        <f>IF(owsa_low=D165,J165,IF(owsa_high=D165,K165,IF(ISNUMBER(H165),H165,I165)))</f>
        <v>0</v>
      </c>
      <c r="H165" s="279"/>
      <c r="I165" s="123"/>
      <c r="J165" s="151">
        <f t="shared" si="10"/>
        <v>0</v>
      </c>
      <c r="K165" s="133">
        <f t="shared" si="11"/>
        <v>0</v>
      </c>
      <c r="L165" s="135">
        <v>1</v>
      </c>
      <c r="N165" s="369"/>
    </row>
    <row r="166" spans="2:14">
      <c r="D166" s="357" t="str">
        <f>IF(L166&lt;&gt;1,".",MAX(D$3:D165)+1)</f>
        <v>.</v>
      </c>
      <c r="E166" s="71"/>
      <c r="F166" s="72"/>
      <c r="G166" s="128"/>
      <c r="H166" s="83"/>
      <c r="I166" s="128"/>
      <c r="J166" s="128"/>
      <c r="K166" s="128"/>
      <c r="L166" s="261"/>
      <c r="M166" s="118"/>
      <c r="N166" s="370"/>
    </row>
    <row r="167" spans="2:14" ht="17.25" customHeight="1">
      <c r="D167" s="357" t="str">
        <f>IF(L167&lt;&gt;1,".",MAX(D$3:D166)+1)</f>
        <v>.</v>
      </c>
      <c r="G167" s="123"/>
      <c r="H167" s="123"/>
      <c r="I167" s="123"/>
    </row>
    <row r="168" spans="2:14" s="67" customFormat="1">
      <c r="B168" s="384"/>
      <c r="D168" s="357" t="str">
        <f>IF(L168&lt;&gt;1,".",MAX(D$3:D167)+1)</f>
        <v>.</v>
      </c>
      <c r="E168" s="382" t="s">
        <v>203</v>
      </c>
      <c r="F168" s="353" t="s">
        <v>62</v>
      </c>
      <c r="G168" s="353" t="s">
        <v>63</v>
      </c>
      <c r="H168" s="353" t="s">
        <v>64</v>
      </c>
      <c r="I168" s="353" t="s">
        <v>65</v>
      </c>
      <c r="J168" s="569" t="s">
        <v>66</v>
      </c>
      <c r="K168" s="569"/>
      <c r="L168" s="260"/>
      <c r="M168" s="122" t="s">
        <v>68</v>
      </c>
      <c r="N168" s="383" t="s">
        <v>69</v>
      </c>
    </row>
    <row r="169" spans="2:14">
      <c r="D169" s="357" t="str">
        <f>IF(L169&lt;&gt;1,".",MAX(D$3:D168)+1)</f>
        <v>.</v>
      </c>
      <c r="E169" s="74" t="s">
        <v>320</v>
      </c>
      <c r="F169" s="75"/>
      <c r="G169" s="76"/>
      <c r="H169" s="76"/>
      <c r="I169" s="76"/>
      <c r="J169" s="76"/>
      <c r="K169" s="76"/>
      <c r="L169" s="140"/>
      <c r="M169" s="119"/>
      <c r="N169" s="372"/>
    </row>
    <row r="170" spans="2:14">
      <c r="D170" s="357" t="str">
        <f>IF(L170&lt;&gt;1,".",MAX(D$3:D169)+1)</f>
        <v>.</v>
      </c>
      <c r="E170" s="73"/>
      <c r="J170" s="83" t="s">
        <v>70</v>
      </c>
      <c r="K170" s="83" t="s">
        <v>71</v>
      </c>
      <c r="N170" s="369"/>
    </row>
    <row r="171" spans="2:14">
      <c r="D171" s="357">
        <f>IF(L171&lt;&gt;1,".",MAX(D$3:D170)+1)</f>
        <v>113</v>
      </c>
      <c r="E171" s="70" t="s">
        <v>321</v>
      </c>
      <c r="F171" s="68" t="s">
        <v>322</v>
      </c>
      <c r="G171" s="127">
        <f t="shared" ref="G171:G176" si="12">IF(owsa_low=D171,J171,IF(owsa_high=D171,K171,IF(ISNUMBER(H171),H171,I171)))</f>
        <v>0</v>
      </c>
      <c r="H171" s="470"/>
      <c r="I171" s="127">
        <f t="shared" ref="I171:I176" si="13">c_drug_avg</f>
        <v>0</v>
      </c>
      <c r="J171" s="154"/>
      <c r="K171" s="127"/>
      <c r="L171" s="257">
        <v>1</v>
      </c>
      <c r="N171" s="369"/>
    </row>
    <row r="172" spans="2:14">
      <c r="D172" s="357">
        <f>IF(L172&lt;&gt;1,".",MAX(D$3:D171)+1)</f>
        <v>114</v>
      </c>
      <c r="E172" s="70" t="s">
        <v>323</v>
      </c>
      <c r="F172" s="68" t="s">
        <v>324</v>
      </c>
      <c r="G172" s="127">
        <f t="shared" si="12"/>
        <v>0</v>
      </c>
      <c r="H172" s="471"/>
      <c r="I172" s="127">
        <f t="shared" si="13"/>
        <v>0</v>
      </c>
      <c r="J172" s="154"/>
      <c r="K172" s="296"/>
      <c r="L172" s="257">
        <v>1</v>
      </c>
      <c r="N172" s="369"/>
    </row>
    <row r="173" spans="2:14">
      <c r="D173" s="357">
        <f>IF(L173&lt;&gt;1,".",MAX(D$3:D172)+1)</f>
        <v>115</v>
      </c>
      <c r="E173" s="70" t="s">
        <v>325</v>
      </c>
      <c r="F173" s="68" t="s">
        <v>326</v>
      </c>
      <c r="G173" s="127">
        <f t="shared" si="12"/>
        <v>0</v>
      </c>
      <c r="H173" s="471"/>
      <c r="I173" s="127">
        <f t="shared" si="13"/>
        <v>0</v>
      </c>
      <c r="J173" s="154"/>
      <c r="K173" s="148"/>
      <c r="L173" s="257">
        <v>1</v>
      </c>
      <c r="N173" s="369"/>
    </row>
    <row r="174" spans="2:14">
      <c r="D174" s="357">
        <f>IF(L174&lt;&gt;1,".",MAX(D$3:D173)+1)</f>
        <v>116</v>
      </c>
      <c r="E174" s="70" t="s">
        <v>327</v>
      </c>
      <c r="F174" s="68" t="s">
        <v>328</v>
      </c>
      <c r="G174" s="127">
        <f t="shared" si="12"/>
        <v>0</v>
      </c>
      <c r="H174" s="470"/>
      <c r="I174" s="127">
        <f t="shared" si="13"/>
        <v>0</v>
      </c>
      <c r="J174" s="154"/>
      <c r="K174" s="129"/>
      <c r="L174" s="257">
        <v>1</v>
      </c>
      <c r="N174" s="369"/>
    </row>
    <row r="175" spans="2:14">
      <c r="D175" s="357">
        <f>IF(L175&lt;&gt;1,".",MAX(D$3:D174)+1)</f>
        <v>117</v>
      </c>
      <c r="E175" s="70" t="s">
        <v>329</v>
      </c>
      <c r="F175" s="68" t="s">
        <v>330</v>
      </c>
      <c r="G175" s="127">
        <f t="shared" si="12"/>
        <v>0</v>
      </c>
      <c r="H175" s="471"/>
      <c r="I175" s="127">
        <f t="shared" si="13"/>
        <v>0</v>
      </c>
      <c r="J175" s="154"/>
      <c r="K175" s="127"/>
      <c r="L175" s="257">
        <v>1</v>
      </c>
      <c r="N175" s="369"/>
    </row>
    <row r="176" spans="2:14" ht="17.25" customHeight="1">
      <c r="D176" s="357">
        <f>IF(L176&lt;&gt;1,".",MAX(D$3:D175)+1)</f>
        <v>118</v>
      </c>
      <c r="E176" s="70" t="str">
        <f>_xlfn.CONCAT("Drug Cost per Dose at ", Setting!E25, " locations")</f>
        <v>Drug Cost per Dose at Other locations</v>
      </c>
      <c r="F176" s="68" t="s">
        <v>331</v>
      </c>
      <c r="G176" s="127">
        <f t="shared" si="12"/>
        <v>0</v>
      </c>
      <c r="H176" s="470"/>
      <c r="I176" s="127">
        <f t="shared" si="13"/>
        <v>0</v>
      </c>
      <c r="J176" s="155"/>
      <c r="K176" s="148"/>
      <c r="L176" s="257">
        <v>1</v>
      </c>
      <c r="N176" s="369"/>
    </row>
    <row r="177" spans="4:14">
      <c r="D177" s="357" t="str">
        <f>IF(L177&lt;&gt;1,".",MAX(D$3:D176)+1)</f>
        <v>.</v>
      </c>
      <c r="E177" s="70"/>
      <c r="H177" s="144"/>
      <c r="I177" s="146"/>
      <c r="N177" s="369"/>
    </row>
    <row r="178" spans="4:14">
      <c r="D178" s="357" t="str">
        <f>IF(L178&lt;&gt;1,".",MAX(D$3:D177)+1)</f>
        <v>.</v>
      </c>
      <c r="E178" s="74" t="str">
        <f>_xlfn.CONCAT(Setting!E16," Management Unit cost at Different Treatment Locations")</f>
        <v>severe pneumonia Management Unit cost at Different Treatment Locations</v>
      </c>
      <c r="F178" s="75"/>
      <c r="G178" s="76"/>
      <c r="H178" s="76"/>
      <c r="I178" s="76"/>
      <c r="J178" s="76"/>
      <c r="K178" s="76"/>
      <c r="L178" s="140"/>
      <c r="M178" s="119"/>
      <c r="N178" s="372"/>
    </row>
    <row r="179" spans="4:14">
      <c r="D179" s="357" t="str">
        <f>IF(L179&lt;&gt;1,".",MAX(D$3:D178)+1)</f>
        <v>.</v>
      </c>
      <c r="E179" s="73"/>
      <c r="J179" s="83" t="s">
        <v>70</v>
      </c>
      <c r="K179" s="83" t="s">
        <v>71</v>
      </c>
      <c r="N179" s="369"/>
    </row>
    <row r="180" spans="4:14">
      <c r="D180" s="357">
        <f>IF(L180&lt;&gt;1,".",MAX(D$3:D179)+1)</f>
        <v>119</v>
      </c>
      <c r="E180" s="70" t="str">
        <f>_xlfn.CONCAT("Average Unit Cost of ",Setting!E16," Management at Public Hospitals" )</f>
        <v>Average Unit Cost of severe pneumonia Management at Public Hospitals</v>
      </c>
      <c r="F180" s="68" t="s">
        <v>332</v>
      </c>
      <c r="G180" s="127">
        <f t="shared" ref="G180:G185" si="14">IF(owsa_low=D180,J180,IF(owsa_high=D180,K180,IF(ISNUMBER(H180),H180,I180)))</f>
        <v>258.93</v>
      </c>
      <c r="H180" s="470"/>
      <c r="I180" s="127">
        <f t="shared" ref="I180:I185" si="15">c_custom1_avg</f>
        <v>258.93</v>
      </c>
      <c r="J180" s="154"/>
      <c r="K180" s="127"/>
      <c r="L180" s="257">
        <v>1</v>
      </c>
      <c r="N180" s="369"/>
    </row>
    <row r="181" spans="4:14">
      <c r="D181" s="357">
        <f>IF(L181&lt;&gt;1,".",MAX(D$3:D180)+1)</f>
        <v>120</v>
      </c>
      <c r="E181" s="70" t="str">
        <f>_xlfn.CONCAT("Average Unit Cost of ",Setting!E16," Management at Public Health Centers" )</f>
        <v>Average Unit Cost of severe pneumonia Management at Public Health Centers</v>
      </c>
      <c r="F181" s="68" t="s">
        <v>333</v>
      </c>
      <c r="G181" s="127">
        <f t="shared" si="14"/>
        <v>258.93</v>
      </c>
      <c r="H181" s="471"/>
      <c r="I181" s="127">
        <f t="shared" si="15"/>
        <v>258.93</v>
      </c>
      <c r="J181" s="154"/>
      <c r="K181" s="148"/>
      <c r="L181" s="257">
        <v>1</v>
      </c>
      <c r="N181" s="369"/>
    </row>
    <row r="182" spans="4:14">
      <c r="D182" s="357">
        <f>IF(L182&lt;&gt;1,".",MAX(D$3:D181)+1)</f>
        <v>121</v>
      </c>
      <c r="E182" s="70" t="str">
        <f>_xlfn.CONCAT("Average Unit Cost of ",Setting!E16," Management at Private Hospitals" )</f>
        <v>Average Unit Cost of severe pneumonia Management at Private Hospitals</v>
      </c>
      <c r="F182" s="68" t="s">
        <v>334</v>
      </c>
      <c r="G182" s="127">
        <f t="shared" si="14"/>
        <v>258.93</v>
      </c>
      <c r="H182" s="471"/>
      <c r="I182" s="127">
        <f t="shared" si="15"/>
        <v>258.93</v>
      </c>
      <c r="J182" s="154"/>
      <c r="K182" s="127"/>
      <c r="L182" s="257">
        <v>1</v>
      </c>
      <c r="N182" s="369"/>
    </row>
    <row r="183" spans="4:14">
      <c r="D183" s="357">
        <f>IF(L183&lt;&gt;1,".",MAX(D$3:D182)+1)</f>
        <v>122</v>
      </c>
      <c r="E183" s="70" t="str">
        <f>_xlfn.CONCAT("Average Unit Cost of ",Setting!E16," Management at Private Pharmacies" )</f>
        <v>Average Unit Cost of severe pneumonia Management at Private Pharmacies</v>
      </c>
      <c r="F183" s="68" t="s">
        <v>335</v>
      </c>
      <c r="G183" s="127">
        <f t="shared" si="14"/>
        <v>258.93</v>
      </c>
      <c r="H183" s="471"/>
      <c r="I183" s="127">
        <f t="shared" si="15"/>
        <v>258.93</v>
      </c>
      <c r="J183" s="154"/>
      <c r="K183" s="148"/>
      <c r="L183" s="257">
        <v>1</v>
      </c>
      <c r="N183" s="369"/>
    </row>
    <row r="184" spans="4:14">
      <c r="D184" s="357">
        <f>IF(L184&lt;&gt;1,".",MAX(D$3:D183)+1)</f>
        <v>123</v>
      </c>
      <c r="E184" s="70" t="str">
        <f>_xlfn.CONCAT("Average Unit Cost of ",Setting!E16," Management at Private Other Locations" )</f>
        <v>Average Unit Cost of severe pneumonia Management at Private Other Locations</v>
      </c>
      <c r="F184" s="68" t="s">
        <v>336</v>
      </c>
      <c r="G184" s="127">
        <f t="shared" si="14"/>
        <v>258.93</v>
      </c>
      <c r="H184" s="471"/>
      <c r="I184" s="127">
        <f t="shared" si="15"/>
        <v>258.93</v>
      </c>
      <c r="J184" s="154"/>
      <c r="K184" s="127"/>
      <c r="L184" s="257">
        <v>1</v>
      </c>
      <c r="N184" s="369"/>
    </row>
    <row r="185" spans="4:14" ht="18" customHeight="1">
      <c r="D185" s="357">
        <f>IF(L185&lt;&gt;1,".",MAX(D$3:D184)+1)</f>
        <v>124</v>
      </c>
      <c r="E185" s="70" t="str">
        <f>_xlfn.CONCAT("Average Unit Cost of ",Setting!E16," Management at ",Setting!$E$25 )</f>
        <v>Average Unit Cost of severe pneumonia Management at Other</v>
      </c>
      <c r="F185" s="68" t="s">
        <v>337</v>
      </c>
      <c r="G185" s="127">
        <f t="shared" si="14"/>
        <v>258.93</v>
      </c>
      <c r="H185" s="471"/>
      <c r="I185" s="127">
        <f t="shared" si="15"/>
        <v>258.93</v>
      </c>
      <c r="J185" s="155"/>
      <c r="K185" s="148"/>
      <c r="L185" s="257">
        <v>1</v>
      </c>
      <c r="N185" s="369"/>
    </row>
    <row r="186" spans="4:14">
      <c r="D186" s="357" t="str">
        <f>IF(L186&lt;&gt;1,".",MAX(D$3:D185)+1)</f>
        <v>.</v>
      </c>
      <c r="E186" s="70"/>
      <c r="N186" s="369"/>
    </row>
    <row r="187" spans="4:14">
      <c r="D187" s="357" t="str">
        <f>IF(L187&lt;&gt;1,".",MAX(D$3:D186)+1)</f>
        <v>.</v>
      </c>
      <c r="E187" s="158" t="str">
        <f>_xlfn.CONCAT(Setting!E17," Management Unit cost at Different Treatment Locations")</f>
        <v>very severe pneumonia Management Unit cost at Different Treatment Locations</v>
      </c>
      <c r="F187" s="75"/>
      <c r="G187" s="76"/>
      <c r="H187" s="76"/>
      <c r="I187" s="76"/>
      <c r="J187" s="76"/>
      <c r="K187" s="76"/>
      <c r="L187" s="140"/>
      <c r="M187" s="119"/>
      <c r="N187" s="372"/>
    </row>
    <row r="188" spans="4:14">
      <c r="D188" s="357" t="str">
        <f>IF(L188&lt;&gt;1,".",MAX(D$3:D187)+1)</f>
        <v>.</v>
      </c>
      <c r="E188" s="73"/>
      <c r="J188" s="83" t="s">
        <v>70</v>
      </c>
      <c r="K188" s="83" t="s">
        <v>71</v>
      </c>
      <c r="N188" s="369"/>
    </row>
    <row r="189" spans="4:14">
      <c r="D189" s="357">
        <f>IF(L189&lt;&gt;1,".",MAX(D$3:D188)+1)</f>
        <v>125</v>
      </c>
      <c r="E189" s="70" t="str">
        <f>_xlfn.CONCAT("Average Unit Cost of ",Setting!E17," Management at Public Hospitals" )</f>
        <v>Average Unit Cost of very severe pneumonia Management at Public Hospitals</v>
      </c>
      <c r="F189" s="68" t="s">
        <v>338</v>
      </c>
      <c r="G189" s="127">
        <f t="shared" ref="G189:G194" si="16">IF(owsa_low=D189,J189,IF(owsa_high=D189,K189,IF(ISNUMBER(H189),H189,I189)))</f>
        <v>849</v>
      </c>
      <c r="H189" s="470"/>
      <c r="I189" s="127">
        <f t="shared" ref="I189:I194" si="17">c_custom2_avg</f>
        <v>849</v>
      </c>
      <c r="J189" s="154"/>
      <c r="K189" s="127"/>
      <c r="L189" s="257">
        <v>1</v>
      </c>
      <c r="N189" s="369"/>
    </row>
    <row r="190" spans="4:14">
      <c r="D190" s="357">
        <f>IF(L190&lt;&gt;1,".",MAX(D$3:D189)+1)</f>
        <v>126</v>
      </c>
      <c r="E190" s="70" t="str">
        <f>_xlfn.CONCAT("Average Unit Cost of ",Setting!E17," Management at Public Health Centers" )</f>
        <v>Average Unit Cost of very severe pneumonia Management at Public Health Centers</v>
      </c>
      <c r="F190" s="68" t="s">
        <v>339</v>
      </c>
      <c r="G190" s="127">
        <f t="shared" si="16"/>
        <v>849</v>
      </c>
      <c r="H190" s="471"/>
      <c r="I190" s="127">
        <f t="shared" si="17"/>
        <v>849</v>
      </c>
      <c r="J190" s="154"/>
      <c r="K190" s="148"/>
      <c r="L190" s="257">
        <v>1</v>
      </c>
      <c r="N190" s="369"/>
    </row>
    <row r="191" spans="4:14">
      <c r="D191" s="357">
        <f>IF(L191&lt;&gt;1,".",MAX(D$3:D190)+1)</f>
        <v>127</v>
      </c>
      <c r="E191" s="70" t="str">
        <f>_xlfn.CONCAT("Average Unit Cost of ",Setting!E17," Management at Private Hospitals" )</f>
        <v>Average Unit Cost of very severe pneumonia Management at Private Hospitals</v>
      </c>
      <c r="F191" s="68" t="s">
        <v>340</v>
      </c>
      <c r="G191" s="127">
        <f t="shared" si="16"/>
        <v>849</v>
      </c>
      <c r="H191" s="470"/>
      <c r="I191" s="127">
        <f t="shared" si="17"/>
        <v>849</v>
      </c>
      <c r="J191" s="154"/>
      <c r="K191" s="127"/>
      <c r="L191" s="257">
        <v>1</v>
      </c>
      <c r="N191" s="369"/>
    </row>
    <row r="192" spans="4:14">
      <c r="D192" s="357">
        <f>IF(L192&lt;&gt;1,".",MAX(D$3:D191)+1)</f>
        <v>128</v>
      </c>
      <c r="E192" s="70" t="str">
        <f>_xlfn.CONCAT("Average Unit Cost of ",Setting!E17," Management at Private Pharmacies" )</f>
        <v>Average Unit Cost of very severe pneumonia Management at Private Pharmacies</v>
      </c>
      <c r="F192" s="68" t="s">
        <v>341</v>
      </c>
      <c r="G192" s="127">
        <f t="shared" si="16"/>
        <v>849</v>
      </c>
      <c r="H192" s="470"/>
      <c r="I192" s="127">
        <f t="shared" si="17"/>
        <v>849</v>
      </c>
      <c r="J192" s="154"/>
      <c r="K192" s="148"/>
      <c r="L192" s="257">
        <v>1</v>
      </c>
      <c r="N192" s="369"/>
    </row>
    <row r="193" spans="4:14">
      <c r="D193" s="357">
        <f>IF(L193&lt;&gt;1,".",MAX(D$3:D192)+1)</f>
        <v>129</v>
      </c>
      <c r="E193" s="70" t="str">
        <f>_xlfn.CONCAT("Average Unit Cost of ",Setting!E17," Management at Private Other Locations" )</f>
        <v>Average Unit Cost of very severe pneumonia Management at Private Other Locations</v>
      </c>
      <c r="F193" s="68" t="s">
        <v>342</v>
      </c>
      <c r="G193" s="127">
        <f t="shared" si="16"/>
        <v>849</v>
      </c>
      <c r="H193" s="471"/>
      <c r="I193" s="127">
        <f t="shared" si="17"/>
        <v>849</v>
      </c>
      <c r="J193" s="154"/>
      <c r="K193" s="127"/>
      <c r="L193" s="257">
        <v>1</v>
      </c>
      <c r="N193" s="369"/>
    </row>
    <row r="194" spans="4:14" ht="21" customHeight="1">
      <c r="D194" s="357">
        <f>IF(L194&lt;&gt;1,".",MAX(D$3:D193)+1)</f>
        <v>130</v>
      </c>
      <c r="E194" s="70" t="str">
        <f>_xlfn.CONCAT("Average Unit Cost of ",Setting!E17," Management at ",Setting!$E$25 )</f>
        <v>Average Unit Cost of very severe pneumonia Management at Other</v>
      </c>
      <c r="F194" s="68" t="s">
        <v>343</v>
      </c>
      <c r="G194" s="127">
        <f t="shared" si="16"/>
        <v>849</v>
      </c>
      <c r="H194" s="470"/>
      <c r="I194" s="127">
        <f t="shared" si="17"/>
        <v>849</v>
      </c>
      <c r="J194" s="155"/>
      <c r="K194" s="148"/>
      <c r="L194" s="257">
        <v>1</v>
      </c>
      <c r="N194" s="369"/>
    </row>
    <row r="195" spans="4:14">
      <c r="D195" s="357" t="str">
        <f>IF(L195&lt;&gt;1,".",MAX(D$3:D194)+1)</f>
        <v>.</v>
      </c>
      <c r="E195" s="70"/>
      <c r="N195" s="369"/>
    </row>
    <row r="196" spans="4:14">
      <c r="D196" s="357" t="str">
        <f>IF(L196&lt;&gt;1,".",MAX(D$3:D195)+1)</f>
        <v>.</v>
      </c>
      <c r="E196" s="74" t="str">
        <f>_xlfn.CONCAT(Setting!E18," Management Unit cost at Different Treatment Locations")</f>
        <v>Custom 3 Management Unit cost at Different Treatment Locations</v>
      </c>
      <c r="F196" s="75"/>
      <c r="G196" s="76"/>
      <c r="H196" s="76"/>
      <c r="I196" s="76"/>
      <c r="J196" s="76"/>
      <c r="K196" s="76"/>
      <c r="L196" s="140"/>
      <c r="M196" s="119"/>
      <c r="N196" s="372"/>
    </row>
    <row r="197" spans="4:14">
      <c r="D197" s="357" t="str">
        <f>IF(L197&lt;&gt;1,".",MAX(D$3:D196)+1)</f>
        <v>.</v>
      </c>
      <c r="E197" s="73"/>
      <c r="J197" s="83" t="s">
        <v>70</v>
      </c>
      <c r="K197" s="83" t="s">
        <v>71</v>
      </c>
      <c r="N197" s="369"/>
    </row>
    <row r="198" spans="4:14">
      <c r="D198" s="357">
        <f>IF(L198&lt;&gt;1,".",MAX(D$3:D197)+1)</f>
        <v>131</v>
      </c>
      <c r="E198" s="70" t="str">
        <f>_xlfn.CONCAT("Average Unit Cost of ",Setting!E18," Management at Public Hospitals" )</f>
        <v>Average Unit Cost of Custom 3 Management at Public Hospitals</v>
      </c>
      <c r="F198" s="68" t="s">
        <v>344</v>
      </c>
      <c r="G198" s="127">
        <f t="shared" ref="G198:G203" si="18">IF(owsa_low=D198,J198,IF(owsa_high=D198,K198,IF(ISNUMBER(H198),H198,I198)))</f>
        <v>0</v>
      </c>
      <c r="H198" s="282"/>
      <c r="I198" s="127">
        <f t="shared" ref="I198:I203" si="19">c_custom3_avg</f>
        <v>0</v>
      </c>
      <c r="J198" s="154"/>
      <c r="K198" s="296"/>
      <c r="L198" s="257">
        <v>1</v>
      </c>
      <c r="N198" s="369"/>
    </row>
    <row r="199" spans="4:14">
      <c r="D199" s="357">
        <f>IF(L199&lt;&gt;1,".",MAX(D$3:D198)+1)</f>
        <v>132</v>
      </c>
      <c r="E199" s="70" t="str">
        <f>_xlfn.CONCAT("Average Unit Cost of ",Setting!E18," Management at Public Health Centers" )</f>
        <v>Average Unit Cost of Custom 3 Management at Public Health Centers</v>
      </c>
      <c r="F199" s="68" t="s">
        <v>345</v>
      </c>
      <c r="G199" s="127">
        <f t="shared" si="18"/>
        <v>0</v>
      </c>
      <c r="H199" s="283"/>
      <c r="I199" s="127">
        <f t="shared" si="19"/>
        <v>0</v>
      </c>
      <c r="J199" s="154"/>
      <c r="K199" s="296"/>
      <c r="L199" s="257">
        <v>1</v>
      </c>
      <c r="N199" s="369"/>
    </row>
    <row r="200" spans="4:14">
      <c r="D200" s="357">
        <f>IF(L200&lt;&gt;1,".",MAX(D$3:D199)+1)</f>
        <v>133</v>
      </c>
      <c r="E200" s="70" t="str">
        <f>_xlfn.CONCAT("Average Unit Cost of ",Setting!E18," Management at Private Hospitals" )</f>
        <v>Average Unit Cost of Custom 3 Management at Private Hospitals</v>
      </c>
      <c r="F200" s="68" t="s">
        <v>346</v>
      </c>
      <c r="G200" s="127">
        <f t="shared" si="18"/>
        <v>0</v>
      </c>
      <c r="H200" s="282"/>
      <c r="I200" s="127">
        <f t="shared" si="19"/>
        <v>0</v>
      </c>
      <c r="J200" s="154"/>
      <c r="K200" s="296"/>
      <c r="L200" s="257">
        <v>1</v>
      </c>
      <c r="N200" s="369"/>
    </row>
    <row r="201" spans="4:14">
      <c r="D201" s="357">
        <f>IF(L201&lt;&gt;1,".",MAX(D$3:D200)+1)</f>
        <v>134</v>
      </c>
      <c r="E201" s="70" t="str">
        <f>_xlfn.CONCAT("Average Unit Cost of ",Setting!E18," Management at Private Pharmacies" )</f>
        <v>Average Unit Cost of Custom 3 Management at Private Pharmacies</v>
      </c>
      <c r="F201" s="68" t="s">
        <v>347</v>
      </c>
      <c r="G201" s="127">
        <f t="shared" si="18"/>
        <v>0</v>
      </c>
      <c r="H201" s="282"/>
      <c r="I201" s="127">
        <f t="shared" si="19"/>
        <v>0</v>
      </c>
      <c r="J201" s="154"/>
      <c r="K201" s="296"/>
      <c r="L201" s="257">
        <v>1</v>
      </c>
      <c r="N201" s="369"/>
    </row>
    <row r="202" spans="4:14">
      <c r="D202" s="357">
        <f>IF(L202&lt;&gt;1,".",MAX(D$3:D201)+1)</f>
        <v>135</v>
      </c>
      <c r="E202" s="70" t="str">
        <f>_xlfn.CONCAT("Average Unit Cost of ",Setting!E18," Management at Private Other Locations" )</f>
        <v>Average Unit Cost of Custom 3 Management at Private Other Locations</v>
      </c>
      <c r="F202" s="68" t="s">
        <v>348</v>
      </c>
      <c r="G202" s="127">
        <f t="shared" si="18"/>
        <v>0</v>
      </c>
      <c r="H202" s="283"/>
      <c r="I202" s="127">
        <f t="shared" si="19"/>
        <v>0</v>
      </c>
      <c r="J202" s="154"/>
      <c r="K202" s="296"/>
      <c r="L202" s="257">
        <v>1</v>
      </c>
      <c r="N202" s="369"/>
    </row>
    <row r="203" spans="4:14">
      <c r="D203" s="357">
        <f>IF(L203&lt;&gt;1,".",MAX(D$3:D202)+1)</f>
        <v>136</v>
      </c>
      <c r="E203" s="70" t="str">
        <f>_xlfn.CONCAT("Average Unit Cost of ",Setting!E18," Management at ",Setting!$E$25 )</f>
        <v>Average Unit Cost of Custom 3 Management at Other</v>
      </c>
      <c r="F203" s="68" t="s">
        <v>349</v>
      </c>
      <c r="G203" s="127">
        <f t="shared" si="18"/>
        <v>0</v>
      </c>
      <c r="H203" s="282"/>
      <c r="I203" s="127">
        <f t="shared" si="19"/>
        <v>0</v>
      </c>
      <c r="J203" s="155"/>
      <c r="K203" s="148"/>
      <c r="L203" s="257">
        <v>1</v>
      </c>
      <c r="N203" s="369"/>
    </row>
    <row r="204" spans="4:14">
      <c r="D204" s="357" t="str">
        <f>IF(L204&lt;&gt;1,".",MAX(D$3:D203)+1)</f>
        <v>.</v>
      </c>
      <c r="E204" s="70"/>
      <c r="N204" s="369"/>
    </row>
    <row r="205" spans="4:14">
      <c r="D205" s="357" t="str">
        <f>IF(L205&lt;&gt;1,".",MAX(D$3:D204)+1)</f>
        <v>.</v>
      </c>
      <c r="E205" s="74" t="str">
        <f>_xlfn.CONCAT(Setting!E19," Management Unit cost at Different Treatment Locations")</f>
        <v>Custom 4 Management Unit cost at Different Treatment Locations</v>
      </c>
      <c r="F205" s="75"/>
      <c r="G205" s="76"/>
      <c r="H205" s="76"/>
      <c r="I205" s="76"/>
      <c r="J205" s="76"/>
      <c r="K205" s="76"/>
      <c r="L205" s="140"/>
      <c r="M205" s="119"/>
      <c r="N205" s="372"/>
    </row>
    <row r="206" spans="4:14">
      <c r="D206" s="357" t="str">
        <f>IF(L206&lt;&gt;1,".",MAX(D$3:D205)+1)</f>
        <v>.</v>
      </c>
      <c r="E206" s="73"/>
      <c r="J206" s="83" t="s">
        <v>70</v>
      </c>
      <c r="K206" s="83" t="s">
        <v>71</v>
      </c>
      <c r="N206" s="369"/>
    </row>
    <row r="207" spans="4:14">
      <c r="D207" s="357">
        <f>IF(L207&lt;&gt;1,".",MAX(D$3:D206)+1)</f>
        <v>137</v>
      </c>
      <c r="E207" s="70" t="str">
        <f>_xlfn.CONCAT("Average Unit Cost of ",Setting!E19," Management at Public Hospitals" )</f>
        <v>Average Unit Cost of Custom 4 Management at Public Hospitals</v>
      </c>
      <c r="F207" s="68" t="s">
        <v>350</v>
      </c>
      <c r="G207" s="127">
        <f t="shared" ref="G207:G212" si="20">IF(owsa_low=D207,J207,IF(owsa_high=D207,K207,IF(ISNUMBER(H207),H207,I207)))</f>
        <v>0</v>
      </c>
      <c r="H207" s="282"/>
      <c r="I207" s="127">
        <f t="shared" ref="I207:I212" si="21">c_custom4_avg</f>
        <v>0</v>
      </c>
      <c r="J207" s="154"/>
      <c r="K207" s="296"/>
      <c r="L207" s="257">
        <v>1</v>
      </c>
      <c r="N207" s="369"/>
    </row>
    <row r="208" spans="4:14">
      <c r="D208" s="357">
        <f>IF(L208&lt;&gt;1,".",MAX(D$3:D207)+1)</f>
        <v>138</v>
      </c>
      <c r="E208" s="70" t="str">
        <f>_xlfn.CONCAT("Average Unit Cost of ",Setting!E19," Management at Public Health Centers" )</f>
        <v>Average Unit Cost of Custom 4 Management at Public Health Centers</v>
      </c>
      <c r="F208" s="68" t="s">
        <v>351</v>
      </c>
      <c r="G208" s="127">
        <f t="shared" si="20"/>
        <v>0</v>
      </c>
      <c r="H208" s="283"/>
      <c r="I208" s="127">
        <f t="shared" si="21"/>
        <v>0</v>
      </c>
      <c r="J208" s="154"/>
      <c r="K208" s="296"/>
      <c r="L208" s="257">
        <v>1</v>
      </c>
      <c r="N208" s="369"/>
    </row>
    <row r="209" spans="2:14">
      <c r="D209" s="357">
        <f>IF(L209&lt;&gt;1,".",MAX(D$3:D208)+1)</f>
        <v>139</v>
      </c>
      <c r="E209" s="70" t="str">
        <f>_xlfn.CONCAT("Average Unit Cost of ",Setting!E19," Management at Private Hospitals" )</f>
        <v>Average Unit Cost of Custom 4 Management at Private Hospitals</v>
      </c>
      <c r="F209" s="68" t="s">
        <v>352</v>
      </c>
      <c r="G209" s="127">
        <f t="shared" si="20"/>
        <v>0</v>
      </c>
      <c r="H209" s="282"/>
      <c r="I209" s="127">
        <f t="shared" si="21"/>
        <v>0</v>
      </c>
      <c r="J209" s="154"/>
      <c r="K209" s="296"/>
      <c r="L209" s="257">
        <v>1</v>
      </c>
      <c r="N209" s="369"/>
    </row>
    <row r="210" spans="2:14">
      <c r="D210" s="357">
        <f>IF(L210&lt;&gt;1,".",MAX(D$3:D209)+1)</f>
        <v>140</v>
      </c>
      <c r="E210" s="70" t="str">
        <f>_xlfn.CONCAT("Average Unit Cost of ",Setting!E19," Management at Private Pharmacies" )</f>
        <v>Average Unit Cost of Custom 4 Management at Private Pharmacies</v>
      </c>
      <c r="F210" s="68" t="s">
        <v>353</v>
      </c>
      <c r="G210" s="127">
        <f t="shared" si="20"/>
        <v>0</v>
      </c>
      <c r="H210" s="282"/>
      <c r="I210" s="127">
        <f t="shared" si="21"/>
        <v>0</v>
      </c>
      <c r="J210" s="154"/>
      <c r="K210" s="296"/>
      <c r="L210" s="257">
        <v>1</v>
      </c>
      <c r="N210" s="369"/>
    </row>
    <row r="211" spans="2:14">
      <c r="D211" s="357">
        <f>IF(L211&lt;&gt;1,".",MAX(D$3:D210)+1)</f>
        <v>141</v>
      </c>
      <c r="E211" s="70" t="str">
        <f>_xlfn.CONCAT("Average Unit Cost of ",Setting!E19," Management at Private Other Locations" )</f>
        <v>Average Unit Cost of Custom 4 Management at Private Other Locations</v>
      </c>
      <c r="F211" s="68" t="s">
        <v>354</v>
      </c>
      <c r="G211" s="127">
        <f t="shared" si="20"/>
        <v>0</v>
      </c>
      <c r="H211" s="298"/>
      <c r="I211" s="127">
        <f t="shared" si="21"/>
        <v>0</v>
      </c>
      <c r="J211" s="154"/>
      <c r="K211" s="296"/>
      <c r="L211" s="257">
        <v>1</v>
      </c>
      <c r="N211" s="369"/>
    </row>
    <row r="212" spans="2:14">
      <c r="D212" s="357">
        <f>IF(L212&lt;&gt;1,".",MAX(D$3:D211)+1)</f>
        <v>142</v>
      </c>
      <c r="E212" s="70" t="str">
        <f>_xlfn.CONCAT("Average Unit Cost of ",Setting!E19," Management at ",Setting!$E$25 )</f>
        <v>Average Unit Cost of Custom 4 Management at Other</v>
      </c>
      <c r="F212" s="68" t="s">
        <v>355</v>
      </c>
      <c r="G212" s="127">
        <f t="shared" si="20"/>
        <v>0</v>
      </c>
      <c r="H212" s="282"/>
      <c r="I212" s="127">
        <f t="shared" si="21"/>
        <v>0</v>
      </c>
      <c r="J212" s="155"/>
      <c r="K212" s="148"/>
      <c r="L212" s="257">
        <v>1</v>
      </c>
      <c r="N212" s="369"/>
    </row>
    <row r="213" spans="2:14">
      <c r="D213" s="357" t="str">
        <f>IF(L213&lt;&gt;1,".",MAX(D$3:D212)+1)</f>
        <v>.</v>
      </c>
      <c r="E213" s="71"/>
      <c r="F213" s="72"/>
      <c r="G213" s="129"/>
      <c r="H213" s="83"/>
      <c r="I213" s="129"/>
      <c r="J213" s="129"/>
      <c r="K213" s="129"/>
      <c r="L213" s="262"/>
      <c r="M213" s="118"/>
      <c r="N213" s="370"/>
    </row>
    <row r="214" spans="2:14">
      <c r="D214" s="357" t="str">
        <f>IF(L214&lt;&gt;1,".",MAX(D$3:D213)+1)</f>
        <v>.</v>
      </c>
      <c r="H214" s="144"/>
      <c r="I214" s="144"/>
    </row>
    <row r="215" spans="2:14" s="67" customFormat="1">
      <c r="B215" s="384"/>
      <c r="D215" s="357" t="str">
        <f>IF(L215&lt;&gt;1,".",MAX(D$3:D214)+1)</f>
        <v>.</v>
      </c>
      <c r="E215" s="379" t="s">
        <v>356</v>
      </c>
      <c r="F215" s="354" t="s">
        <v>62</v>
      </c>
      <c r="G215" s="354" t="s">
        <v>63</v>
      </c>
      <c r="H215" s="354" t="s">
        <v>64</v>
      </c>
      <c r="I215" s="354" t="s">
        <v>65</v>
      </c>
      <c r="J215" s="354" t="s">
        <v>66</v>
      </c>
      <c r="K215" s="354"/>
      <c r="L215" s="258"/>
      <c r="M215" s="117" t="s">
        <v>68</v>
      </c>
      <c r="N215" s="287" t="s">
        <v>69</v>
      </c>
    </row>
    <row r="216" spans="2:14">
      <c r="D216" s="357" t="str">
        <f>IF(L216&lt;&gt;1,".",MAX(D$3:D215)+1)</f>
        <v>.</v>
      </c>
      <c r="E216" s="73"/>
      <c r="J216" s="83" t="s">
        <v>70</v>
      </c>
      <c r="K216" s="83" t="s">
        <v>71</v>
      </c>
      <c r="N216" s="369"/>
    </row>
    <row r="217" spans="2:14">
      <c r="D217" s="357">
        <f>IF(L217&lt;&gt;1,".",MAX(D$3:D216)+1)</f>
        <v>143</v>
      </c>
      <c r="E217" s="70" t="s">
        <v>357</v>
      </c>
      <c r="F217" s="68" t="s">
        <v>358</v>
      </c>
      <c r="G217" s="123">
        <f t="shared" ref="G217:G222" si="22">IF(owsa_low=D217,J217,IF(owsa_high=D217,K217,IF(ISNUMBER(H217),H217,I217)))</f>
        <v>0</v>
      </c>
      <c r="H217" s="281"/>
      <c r="I217" s="123">
        <f t="shared" ref="I217:I222" si="23">p_updose</f>
        <v>0</v>
      </c>
      <c r="J217" s="150"/>
      <c r="K217" s="297"/>
      <c r="L217" s="257">
        <v>1</v>
      </c>
      <c r="N217" s="369"/>
    </row>
    <row r="218" spans="2:14">
      <c r="D218" s="357">
        <f>IF(L218&lt;&gt;1,".",MAX(D$3:D217)+1)</f>
        <v>144</v>
      </c>
      <c r="E218" s="70" t="s">
        <v>359</v>
      </c>
      <c r="F218" s="68" t="s">
        <v>360</v>
      </c>
      <c r="G218" s="123">
        <f t="shared" si="22"/>
        <v>0</v>
      </c>
      <c r="H218" s="280"/>
      <c r="I218" s="123">
        <f t="shared" si="23"/>
        <v>0</v>
      </c>
      <c r="J218" s="150"/>
      <c r="K218" s="297"/>
      <c r="L218" s="257">
        <v>1</v>
      </c>
      <c r="N218" s="369"/>
    </row>
    <row r="219" spans="2:14">
      <c r="D219" s="357">
        <f>IF(L219&lt;&gt;1,".",MAX(D$3:D218)+1)</f>
        <v>145</v>
      </c>
      <c r="E219" s="70" t="s">
        <v>361</v>
      </c>
      <c r="F219" s="68" t="s">
        <v>362</v>
      </c>
      <c r="G219" s="123">
        <f t="shared" si="22"/>
        <v>0</v>
      </c>
      <c r="H219" s="281"/>
      <c r="I219" s="123">
        <f t="shared" si="23"/>
        <v>0</v>
      </c>
      <c r="J219" s="150"/>
      <c r="K219" s="297"/>
      <c r="L219" s="257">
        <v>1</v>
      </c>
      <c r="N219" s="369"/>
    </row>
    <row r="220" spans="2:14">
      <c r="D220" s="357">
        <f>IF(L220&lt;&gt;1,".",MAX(D$3:D219)+1)</f>
        <v>146</v>
      </c>
      <c r="E220" s="70" t="s">
        <v>363</v>
      </c>
      <c r="F220" s="68" t="s">
        <v>364</v>
      </c>
      <c r="G220" s="123">
        <f t="shared" si="22"/>
        <v>0</v>
      </c>
      <c r="H220" s="281"/>
      <c r="I220" s="123">
        <f t="shared" si="23"/>
        <v>0</v>
      </c>
      <c r="J220" s="150"/>
      <c r="K220" s="297"/>
      <c r="L220" s="257">
        <v>1</v>
      </c>
      <c r="N220" s="369"/>
    </row>
    <row r="221" spans="2:14">
      <c r="D221" s="357">
        <f>IF(L221&lt;&gt;1,".",MAX(D$3:D220)+1)</f>
        <v>147</v>
      </c>
      <c r="E221" s="70" t="s">
        <v>365</v>
      </c>
      <c r="F221" s="68" t="s">
        <v>366</v>
      </c>
      <c r="G221" s="123">
        <f t="shared" si="22"/>
        <v>0</v>
      </c>
      <c r="H221" s="280"/>
      <c r="I221" s="123">
        <f t="shared" si="23"/>
        <v>0</v>
      </c>
      <c r="J221" s="150"/>
      <c r="K221" s="297"/>
      <c r="L221" s="257">
        <v>1</v>
      </c>
      <c r="N221" s="369"/>
    </row>
    <row r="222" spans="2:14">
      <c r="D222" s="357">
        <f>IF(L222&lt;&gt;1,".",MAX(D$3:D221)+1)</f>
        <v>148</v>
      </c>
      <c r="E222" s="70" t="str">
        <f>_xlfn.CONCAT("Proportion of Providers  who increase Doses at ",Setting!E25)</f>
        <v>Proportion of Providers  who increase Doses at Other</v>
      </c>
      <c r="F222" s="68" t="s">
        <v>367</v>
      </c>
      <c r="G222" s="123">
        <f t="shared" si="22"/>
        <v>0</v>
      </c>
      <c r="H222" s="281"/>
      <c r="I222" s="123">
        <f t="shared" si="23"/>
        <v>0</v>
      </c>
      <c r="J222" s="151"/>
      <c r="K222" s="133"/>
      <c r="L222" s="257">
        <v>1</v>
      </c>
      <c r="N222" s="369"/>
    </row>
    <row r="223" spans="2:14">
      <c r="D223" s="357" t="str">
        <f>IF(L223&lt;&gt;1,".",MAX(D$3:D222)+1)</f>
        <v>.</v>
      </c>
      <c r="E223" s="71"/>
      <c r="F223" s="72"/>
      <c r="G223" s="83"/>
      <c r="H223" s="131"/>
      <c r="I223" s="131"/>
      <c r="J223" s="83"/>
      <c r="K223" s="83"/>
      <c r="L223" s="259"/>
      <c r="M223" s="118"/>
      <c r="N223" s="370"/>
    </row>
    <row r="224" spans="2:14">
      <c r="H224" s="132"/>
      <c r="I224" s="132"/>
    </row>
    <row r="225" spans="4:13">
      <c r="D225" s="357">
        <f>IF(L225&lt;&gt;1,".",MAX(D$3:D223)+1)</f>
        <v>149</v>
      </c>
      <c r="E225" s="68" t="s">
        <v>669</v>
      </c>
      <c r="G225" s="135"/>
      <c r="H225" s="286">
        <v>64.489999999999995</v>
      </c>
      <c r="I225" s="132"/>
      <c r="J225" s="149"/>
      <c r="K225" s="130"/>
      <c r="L225" s="126">
        <v>1</v>
      </c>
      <c r="M225" s="468" t="s">
        <v>704</v>
      </c>
    </row>
    <row r="226" spans="4:13">
      <c r="D226" s="357">
        <f>IF(L226&lt;&gt;1,".",MAX(D$3:D225)+1)</f>
        <v>150</v>
      </c>
      <c r="E226" s="68" t="s">
        <v>696</v>
      </c>
      <c r="H226" s="484">
        <v>2296</v>
      </c>
      <c r="J226" s="149">
        <v>259</v>
      </c>
      <c r="K226" s="130">
        <v>8820</v>
      </c>
      <c r="L226" s="126">
        <v>1</v>
      </c>
      <c r="M226" s="468" t="s">
        <v>705</v>
      </c>
    </row>
    <row r="227" spans="4:13">
      <c r="D227" s="357">
        <f>IF(L227&lt;&gt;1,".",MAX(D$3:D226)+1)</f>
        <v>151</v>
      </c>
      <c r="E227" s="68" t="s">
        <v>697</v>
      </c>
      <c r="H227" s="286">
        <v>105</v>
      </c>
      <c r="J227" s="149"/>
      <c r="K227" s="130"/>
      <c r="L227" s="126">
        <v>1</v>
      </c>
      <c r="M227" s="468" t="s">
        <v>706</v>
      </c>
    </row>
    <row r="228" spans="4:13">
      <c r="D228" s="357">
        <f>IF(L228&lt;&gt;1,".",MAX(D$3:D227)+1)</f>
        <v>152</v>
      </c>
      <c r="E228" s="489" t="s">
        <v>672</v>
      </c>
      <c r="G228" s="135"/>
      <c r="H228" s="286">
        <v>15</v>
      </c>
      <c r="J228" s="149"/>
      <c r="K228" s="130"/>
      <c r="L228" s="126">
        <v>1</v>
      </c>
      <c r="M228" s="465" t="s">
        <v>708</v>
      </c>
    </row>
    <row r="229" spans="4:13">
      <c r="D229" s="357">
        <f>IF(L229&lt;&gt;1,".",MAX(D$3:D228)+1)</f>
        <v>153</v>
      </c>
      <c r="E229" s="68" t="s">
        <v>695</v>
      </c>
      <c r="G229" s="123"/>
      <c r="H229" s="503">
        <v>0.03</v>
      </c>
      <c r="J229" s="149"/>
      <c r="K229" s="130"/>
      <c r="L229" s="126">
        <v>1</v>
      </c>
      <c r="M229" s="468" t="s">
        <v>707</v>
      </c>
    </row>
    <row r="230" spans="4:13">
      <c r="D230" s="357" t="str">
        <f>IF(L230&lt;&gt;1,".",MAX(D$3:D229)+1)</f>
        <v>.</v>
      </c>
      <c r="G230" s="123"/>
      <c r="H230" s="123"/>
    </row>
  </sheetData>
  <mergeCells count="15">
    <mergeCell ref="D1:N1"/>
    <mergeCell ref="B5:B6"/>
    <mergeCell ref="B14:B15"/>
    <mergeCell ref="J168:K168"/>
    <mergeCell ref="J30:K30"/>
    <mergeCell ref="J38:K38"/>
    <mergeCell ref="J46:K46"/>
    <mergeCell ref="J93:K93"/>
    <mergeCell ref="J105:K105"/>
    <mergeCell ref="B20:B23"/>
    <mergeCell ref="B25:B26"/>
    <mergeCell ref="J21:K21"/>
    <mergeCell ref="B17:B18"/>
    <mergeCell ref="B8:B9"/>
    <mergeCell ref="B11:B12"/>
  </mergeCells>
  <phoneticPr fontId="11" type="noConversion"/>
  <hyperlinks>
    <hyperlink ref="B5" location="Overview!A1" display="Overview" xr:uid="{F7B115AD-B246-0E4F-8A31-ACE07B587789}"/>
    <hyperlink ref="B11" location="Inputs!A1" display="Inputs" xr:uid="{9CDFA926-3165-604A-8C6D-4D85A5C1F47F}"/>
    <hyperlink ref="B14" location="Model!A1" display="Model" xr:uid="{BE2D1C01-D850-844E-80D3-069AEC26BDD4}"/>
    <hyperlink ref="B17" location="Results!A1" display="Results" xr:uid="{28624FC5-F8E6-D441-8915-FCEB0A9139AA}"/>
    <hyperlink ref="B20" location="OWSA!A1" display="One-Way Sensitivity Analysis" xr:uid="{C3D77109-EB27-BE46-BBB7-BD82726972C0}"/>
    <hyperlink ref="B8" location="Inputs!A1" display="Inputs" xr:uid="{D4C1A082-75A1-294E-8D22-F3EFCF34DF7A}"/>
    <hyperlink ref="B5:B6" location="Overview!A1" display="Overview" xr:uid="{6EF295A1-A923-C14C-B723-37A72A019ABF}"/>
    <hyperlink ref="B8:B9" location="Setting!A1" display="Setting" xr:uid="{9974F0F0-0849-5B42-B687-6450B44B33E5}"/>
    <hyperlink ref="B14:B15" location="Model!A1" display="Model" xr:uid="{AD9586F1-BEDB-B646-B9B5-8AE67760E9D8}"/>
    <hyperlink ref="B25" location="Overview!A1" display="Overview" xr:uid="{FD691BCB-70F8-1B44-8FF3-C4A1F8AC9E96}"/>
    <hyperlink ref="B25:B26" location="Appendix!A1" display="Appendix" xr:uid="{D88135EC-37ED-574D-A320-0399DFD28A4B}"/>
    <hyperlink ref="M100" r:id="rId1" xr:uid="{1947E1EC-987C-498F-BD5C-5CF1B4BDA1CB}"/>
    <hyperlink ref="M6" r:id="rId2" xr:uid="{E205B762-2343-48BB-9EC3-4FA88D8AED9D}"/>
  </hyperlinks>
  <pageMargins left="0.7" right="0.7" top="0.75" bottom="0.75" header="0.3" footer="0.3"/>
  <pageSetup paperSize="9" orientation="portrait"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FFFF3-BA17-2B4F-9D98-BF585600D03F}">
  <sheetPr codeName="Sheet9"/>
  <dimension ref="A1:YA78"/>
  <sheetViews>
    <sheetView topLeftCell="B1" zoomScaleNormal="100" workbookViewId="0">
      <selection activeCell="B8" sqref="B8:B9"/>
    </sheetView>
  </sheetViews>
  <sheetFormatPr defaultColWidth="11" defaultRowHeight="18.5"/>
  <cols>
    <col min="1" max="1" width="10.83203125" style="2"/>
    <col min="2" max="2" width="18.5" style="226" customWidth="1"/>
    <col min="3" max="3" width="4.5" style="2" customWidth="1"/>
    <col min="4" max="4" width="74.33203125" style="82" bestFit="1" customWidth="1"/>
    <col min="5" max="5" width="12" style="82" bestFit="1" customWidth="1"/>
    <col min="6" max="6" width="22" style="82" customWidth="1"/>
    <col min="7" max="7" width="10.83203125" style="82"/>
    <col min="8" max="8" width="14.83203125" style="401" customWidth="1"/>
    <col min="9" max="9" width="15" style="82" customWidth="1"/>
    <col min="10" max="10" width="16.33203125" style="401" customWidth="1"/>
    <col min="11" max="11" width="12.83203125" style="82" customWidth="1"/>
    <col min="12" max="12" width="12.5" style="401" customWidth="1"/>
    <col min="13" max="13" width="21.5" style="82" customWidth="1"/>
    <col min="14" max="14" width="18.5" style="401" customWidth="1"/>
    <col min="15" max="15" width="11" style="82" customWidth="1"/>
    <col min="16" max="16" width="14" style="401" customWidth="1"/>
    <col min="17" max="17" width="16.5" style="82" customWidth="1"/>
    <col min="18" max="18" width="4" style="79" customWidth="1"/>
    <col min="19" max="19" width="16.5" style="79" customWidth="1"/>
    <col min="20" max="20" width="4.5" style="79" customWidth="1"/>
    <col min="21" max="22" width="10.83203125" style="79"/>
    <col min="23" max="23" width="10" style="79" customWidth="1"/>
    <col min="24" max="24" width="13.5" style="79" customWidth="1"/>
    <col min="25" max="27" width="12.5" style="79" customWidth="1"/>
    <col min="28" max="28" width="13.5" style="79" customWidth="1"/>
    <col min="29" max="29" width="3" style="79" customWidth="1"/>
    <col min="30" max="31" width="15.5" style="79" customWidth="1"/>
    <col min="32" max="32" width="15.83203125" style="79" customWidth="1"/>
    <col min="33" max="33" width="15" style="79" customWidth="1"/>
    <col min="34" max="34" width="12.5" style="79" customWidth="1"/>
    <col min="35" max="35" width="13.5" style="79" customWidth="1"/>
    <col min="36" max="36" width="13" style="79" customWidth="1"/>
    <col min="37" max="37" width="17.33203125" style="79" customWidth="1"/>
    <col min="38" max="38" width="3" style="79" customWidth="1"/>
    <col min="39" max="39" width="19.33203125" style="79" customWidth="1"/>
    <col min="40" max="40" width="13" style="79" customWidth="1"/>
    <col min="41" max="42" width="12.33203125" style="79" customWidth="1"/>
    <col min="43" max="43" width="13.33203125" style="79" customWidth="1"/>
    <col min="44" max="44" width="13" style="79" customWidth="1"/>
    <col min="45" max="45" width="13.5" style="79" customWidth="1"/>
    <col min="46" max="46" width="12.5" style="79" customWidth="1"/>
    <col min="47" max="47" width="14" style="79" customWidth="1"/>
    <col min="48" max="48" width="3" style="79" customWidth="1"/>
    <col min="49" max="49" width="19" style="80" customWidth="1"/>
    <col min="50" max="50" width="3" style="79" customWidth="1"/>
    <col min="51" max="51" width="14.83203125" style="159" customWidth="1"/>
    <col min="52" max="52" width="15" style="159" customWidth="1"/>
    <col min="53" max="53" width="16.83203125" style="159" customWidth="1"/>
    <col min="54" max="55" width="15" style="159" customWidth="1"/>
    <col min="56" max="56" width="2.5" style="79" customWidth="1"/>
    <col min="57" max="60" width="15" style="159" customWidth="1"/>
    <col min="61" max="61" width="4.33203125" style="79" customWidth="1"/>
    <col min="62" max="651" width="10.83203125" style="79"/>
  </cols>
  <sheetData>
    <row r="1" spans="1:651" s="100" customFormat="1">
      <c r="A1"/>
      <c r="B1" s="435"/>
      <c r="C1"/>
      <c r="D1" s="82"/>
      <c r="E1" s="352"/>
      <c r="F1" s="396"/>
      <c r="G1" s="396"/>
      <c r="H1" s="397"/>
      <c r="I1" s="396"/>
      <c r="J1" s="397"/>
      <c r="K1" s="396"/>
      <c r="L1" s="397"/>
      <c r="M1" s="396"/>
      <c r="N1" s="398"/>
      <c r="O1" s="389"/>
      <c r="P1" s="399"/>
      <c r="Q1" s="389"/>
      <c r="R1" s="79"/>
      <c r="S1" s="266"/>
      <c r="T1" s="79"/>
      <c r="U1" s="577" t="s">
        <v>141</v>
      </c>
      <c r="V1" s="577"/>
      <c r="W1" s="577"/>
      <c r="X1" s="577"/>
      <c r="Y1" s="577"/>
      <c r="Z1" s="577"/>
      <c r="AA1" s="577"/>
      <c r="AB1" s="577"/>
      <c r="AC1" s="79"/>
      <c r="AD1" s="266"/>
      <c r="AE1" s="388"/>
      <c r="AF1" s="388"/>
      <c r="AG1" s="573" t="s">
        <v>368</v>
      </c>
      <c r="AH1" s="574"/>
      <c r="AI1" s="574"/>
      <c r="AJ1" s="532"/>
      <c r="AK1" s="389"/>
      <c r="AL1" s="79"/>
      <c r="AM1" s="266"/>
      <c r="AN1" s="386"/>
      <c r="AO1" s="386"/>
      <c r="AP1" s="386"/>
      <c r="AQ1" s="386"/>
      <c r="AR1" s="386"/>
      <c r="AS1" s="386"/>
      <c r="AT1" s="386"/>
      <c r="AU1" s="388"/>
      <c r="AV1" s="79"/>
      <c r="AW1" s="387"/>
      <c r="AX1" s="79"/>
      <c r="AY1" s="575"/>
      <c r="AZ1" s="575"/>
      <c r="BA1" s="575"/>
      <c r="BB1" s="575"/>
      <c r="BC1" s="575"/>
      <c r="BD1" s="79"/>
      <c r="BE1" s="390"/>
      <c r="BF1" s="391"/>
      <c r="BG1" s="391"/>
      <c r="BH1" s="392"/>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79"/>
      <c r="FE1" s="79"/>
      <c r="FF1" s="79"/>
      <c r="FG1" s="79"/>
      <c r="FH1" s="79"/>
      <c r="FI1" s="79"/>
      <c r="FJ1" s="79"/>
      <c r="FK1" s="79"/>
      <c r="FL1" s="79"/>
      <c r="FM1" s="79"/>
      <c r="FN1" s="79"/>
      <c r="FO1" s="79"/>
      <c r="FP1" s="79"/>
      <c r="FQ1" s="79"/>
      <c r="FR1" s="79"/>
      <c r="FS1" s="79"/>
      <c r="FT1" s="79"/>
      <c r="FU1" s="79"/>
      <c r="FV1" s="79"/>
      <c r="FW1" s="79"/>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c r="HA1" s="79"/>
      <c r="HB1" s="79"/>
      <c r="HC1" s="79"/>
      <c r="HD1" s="79"/>
      <c r="HE1" s="79"/>
      <c r="HF1" s="79"/>
      <c r="HG1" s="79"/>
      <c r="HH1" s="79"/>
      <c r="HI1" s="79"/>
      <c r="HJ1" s="79"/>
      <c r="HK1" s="79"/>
      <c r="HL1" s="79"/>
      <c r="HM1" s="79"/>
      <c r="HN1" s="79"/>
      <c r="HO1" s="79"/>
      <c r="HP1" s="79"/>
      <c r="HQ1" s="79"/>
      <c r="HR1" s="79"/>
      <c r="HS1" s="79"/>
      <c r="HT1" s="79"/>
      <c r="HU1" s="79"/>
      <c r="HV1" s="79"/>
      <c r="HW1" s="79"/>
      <c r="HX1" s="79"/>
      <c r="HY1" s="79"/>
      <c r="HZ1" s="79"/>
      <c r="IA1" s="79"/>
      <c r="IB1" s="79"/>
      <c r="IC1" s="79"/>
      <c r="ID1" s="79"/>
      <c r="IE1" s="79"/>
      <c r="IF1" s="79"/>
      <c r="IG1" s="79"/>
      <c r="IH1" s="79"/>
      <c r="II1" s="79"/>
      <c r="IJ1" s="79"/>
      <c r="IK1" s="79"/>
      <c r="IL1" s="79"/>
      <c r="IM1" s="79"/>
      <c r="IN1" s="79"/>
      <c r="IO1" s="79"/>
      <c r="IP1" s="79"/>
      <c r="IQ1" s="79"/>
      <c r="IR1" s="79"/>
      <c r="IS1" s="79"/>
      <c r="IT1" s="79"/>
      <c r="IU1" s="79"/>
      <c r="IV1" s="79"/>
      <c r="IW1" s="79"/>
      <c r="IX1" s="79"/>
      <c r="IY1" s="79"/>
      <c r="IZ1" s="79"/>
      <c r="JA1" s="79"/>
      <c r="JB1" s="79"/>
      <c r="JC1" s="79"/>
      <c r="JD1" s="79"/>
      <c r="JE1" s="79"/>
      <c r="JF1" s="79"/>
      <c r="JG1" s="79"/>
      <c r="JH1" s="79"/>
      <c r="JI1" s="79"/>
      <c r="JJ1" s="79"/>
      <c r="JK1" s="79"/>
      <c r="JL1" s="79"/>
      <c r="JM1" s="79"/>
      <c r="JN1" s="79"/>
      <c r="JO1" s="79"/>
      <c r="JP1" s="79"/>
      <c r="JQ1" s="79"/>
      <c r="JR1" s="79"/>
      <c r="JS1" s="79"/>
      <c r="JT1" s="79"/>
      <c r="JU1" s="79"/>
      <c r="JV1" s="79"/>
      <c r="JW1" s="79"/>
      <c r="JX1" s="79"/>
      <c r="JY1" s="79"/>
      <c r="JZ1" s="79"/>
      <c r="KA1" s="79"/>
      <c r="KB1" s="79"/>
      <c r="KC1" s="79"/>
      <c r="KD1" s="79"/>
      <c r="KE1" s="79"/>
      <c r="KF1" s="79"/>
      <c r="KG1" s="79"/>
      <c r="KH1" s="79"/>
      <c r="KI1" s="79"/>
      <c r="KJ1" s="79"/>
      <c r="KK1" s="79"/>
      <c r="KL1" s="79"/>
      <c r="KM1" s="79"/>
      <c r="KN1" s="79"/>
      <c r="KO1" s="79"/>
      <c r="KP1" s="79"/>
      <c r="KQ1" s="79"/>
      <c r="KR1" s="79"/>
      <c r="KS1" s="79"/>
      <c r="KT1" s="79"/>
      <c r="KU1" s="79"/>
      <c r="KV1" s="79"/>
      <c r="KW1" s="79"/>
      <c r="KX1" s="79"/>
      <c r="KY1" s="79"/>
      <c r="KZ1" s="79"/>
      <c r="LA1" s="79"/>
      <c r="LB1" s="79"/>
      <c r="LC1" s="79"/>
      <c r="LD1" s="79"/>
      <c r="LE1" s="79"/>
      <c r="LF1" s="79"/>
      <c r="LG1" s="79"/>
      <c r="LH1" s="79"/>
      <c r="LI1" s="79"/>
      <c r="LJ1" s="79"/>
      <c r="LK1" s="79"/>
      <c r="LL1" s="79"/>
      <c r="LM1" s="79"/>
      <c r="LN1" s="79"/>
      <c r="LO1" s="79"/>
      <c r="LP1" s="79"/>
      <c r="LQ1" s="79"/>
      <c r="LR1" s="79"/>
      <c r="LS1" s="79"/>
      <c r="LT1" s="79"/>
      <c r="LU1" s="79"/>
      <c r="LV1" s="79"/>
      <c r="LW1" s="79"/>
      <c r="LX1" s="79"/>
      <c r="LY1" s="79"/>
      <c r="LZ1" s="79"/>
      <c r="MA1" s="79"/>
      <c r="MB1" s="79"/>
      <c r="MC1" s="79"/>
      <c r="MD1" s="79"/>
      <c r="ME1" s="79"/>
      <c r="MF1" s="79"/>
      <c r="MG1" s="79"/>
      <c r="MH1" s="79"/>
      <c r="MI1" s="79"/>
      <c r="MJ1" s="79"/>
      <c r="MK1" s="79"/>
      <c r="ML1" s="79"/>
      <c r="MM1" s="79"/>
      <c r="MN1" s="79"/>
      <c r="MO1" s="79"/>
      <c r="MP1" s="79"/>
      <c r="MQ1" s="79"/>
      <c r="MR1" s="79"/>
      <c r="MS1" s="79"/>
      <c r="MT1" s="79"/>
      <c r="MU1" s="79"/>
      <c r="MV1" s="79"/>
      <c r="MW1" s="79"/>
      <c r="MX1" s="79"/>
      <c r="MY1" s="79"/>
      <c r="MZ1" s="79"/>
      <c r="NA1" s="79"/>
      <c r="NB1" s="79"/>
      <c r="NC1" s="79"/>
      <c r="ND1" s="79"/>
      <c r="NE1" s="79"/>
      <c r="NF1" s="79"/>
      <c r="NG1" s="79"/>
      <c r="NH1" s="79"/>
      <c r="NI1" s="79"/>
      <c r="NJ1" s="79"/>
      <c r="NK1" s="79"/>
      <c r="NL1" s="79"/>
      <c r="NM1" s="79"/>
      <c r="NN1" s="79"/>
      <c r="NO1" s="79"/>
      <c r="NP1" s="79"/>
      <c r="NQ1" s="79"/>
      <c r="NR1" s="79"/>
      <c r="NS1" s="79"/>
      <c r="NT1" s="79"/>
      <c r="NU1" s="79"/>
      <c r="NV1" s="79"/>
      <c r="NW1" s="79"/>
      <c r="NX1" s="79"/>
      <c r="NY1" s="79"/>
      <c r="NZ1" s="79"/>
      <c r="OA1" s="79"/>
      <c r="OB1" s="79"/>
      <c r="OC1" s="79"/>
      <c r="OD1" s="79"/>
      <c r="OE1" s="79"/>
      <c r="OF1" s="79"/>
      <c r="OG1" s="79"/>
      <c r="OH1" s="79"/>
      <c r="OI1" s="79"/>
      <c r="OJ1" s="79"/>
      <c r="OK1" s="79"/>
      <c r="OL1" s="79"/>
      <c r="OM1" s="79"/>
      <c r="ON1" s="79"/>
      <c r="OO1" s="79"/>
      <c r="OP1" s="79"/>
      <c r="OQ1" s="79"/>
      <c r="OR1" s="79"/>
      <c r="OS1" s="79"/>
      <c r="OT1" s="79"/>
      <c r="OU1" s="79"/>
      <c r="OV1" s="79"/>
      <c r="OW1" s="79"/>
      <c r="OX1" s="79"/>
      <c r="OY1" s="79"/>
      <c r="OZ1" s="79"/>
      <c r="PA1" s="79"/>
      <c r="PB1" s="79"/>
      <c r="PC1" s="79"/>
      <c r="PD1" s="79"/>
      <c r="PE1" s="79"/>
      <c r="PF1" s="79"/>
      <c r="PG1" s="79"/>
      <c r="PH1" s="79"/>
      <c r="PI1" s="79"/>
      <c r="PJ1" s="79"/>
      <c r="PK1" s="79"/>
      <c r="PL1" s="79"/>
      <c r="PM1" s="79"/>
      <c r="PN1" s="79"/>
      <c r="PO1" s="79"/>
      <c r="PP1" s="79"/>
      <c r="PQ1" s="79"/>
      <c r="PR1" s="79"/>
      <c r="PS1" s="79"/>
      <c r="PT1" s="79"/>
      <c r="PU1" s="79"/>
      <c r="PV1" s="79"/>
      <c r="PW1" s="79"/>
      <c r="PX1" s="79"/>
      <c r="PY1" s="79"/>
      <c r="PZ1" s="79"/>
      <c r="QA1" s="79"/>
      <c r="QB1" s="79"/>
      <c r="QC1" s="79"/>
      <c r="QD1" s="79"/>
      <c r="QE1" s="79"/>
      <c r="QF1" s="79"/>
      <c r="QG1" s="79"/>
      <c r="QH1" s="79"/>
      <c r="QI1" s="79"/>
      <c r="QJ1" s="79"/>
      <c r="QK1" s="79"/>
      <c r="QL1" s="79"/>
      <c r="QM1" s="79"/>
      <c r="QN1" s="79"/>
      <c r="QO1" s="79"/>
      <c r="QP1" s="79"/>
      <c r="QQ1" s="79"/>
      <c r="QR1" s="79"/>
      <c r="QS1" s="79"/>
      <c r="QT1" s="79"/>
      <c r="QU1" s="79"/>
      <c r="QV1" s="79"/>
      <c r="QW1" s="79"/>
      <c r="QX1" s="79"/>
      <c r="QY1" s="79"/>
      <c r="QZ1" s="79"/>
      <c r="RA1" s="79"/>
      <c r="RB1" s="79"/>
      <c r="RC1" s="79"/>
      <c r="RD1" s="79"/>
      <c r="RE1" s="79"/>
      <c r="RF1" s="79"/>
      <c r="RG1" s="79"/>
      <c r="RH1" s="79"/>
      <c r="RI1" s="79"/>
      <c r="RJ1" s="79"/>
      <c r="RK1" s="79"/>
      <c r="RL1" s="79"/>
      <c r="RM1" s="79"/>
      <c r="RN1" s="79"/>
      <c r="RO1" s="79"/>
      <c r="RP1" s="79"/>
      <c r="RQ1" s="79"/>
      <c r="RR1" s="79"/>
      <c r="RS1" s="79"/>
      <c r="RT1" s="79"/>
      <c r="RU1" s="79"/>
      <c r="RV1" s="79"/>
      <c r="RW1" s="79"/>
      <c r="RX1" s="79"/>
      <c r="RY1" s="79"/>
      <c r="RZ1" s="79"/>
      <c r="SA1" s="79"/>
      <c r="SB1" s="79"/>
      <c r="SC1" s="79"/>
      <c r="SD1" s="79"/>
      <c r="SE1" s="79"/>
      <c r="SF1" s="79"/>
      <c r="SG1" s="79"/>
      <c r="SH1" s="79"/>
      <c r="SI1" s="79"/>
      <c r="SJ1" s="79"/>
      <c r="SK1" s="79"/>
      <c r="SL1" s="79"/>
      <c r="SM1" s="79"/>
      <c r="SN1" s="79"/>
      <c r="SO1" s="79"/>
      <c r="SP1" s="79"/>
      <c r="SQ1" s="79"/>
      <c r="SR1" s="79"/>
      <c r="SS1" s="79"/>
      <c r="ST1" s="79"/>
      <c r="SU1" s="79"/>
      <c r="SV1" s="79"/>
      <c r="SW1" s="79"/>
      <c r="SX1" s="79"/>
      <c r="SY1" s="79"/>
      <c r="SZ1" s="79"/>
      <c r="TA1" s="79"/>
      <c r="TB1" s="79"/>
      <c r="TC1" s="79"/>
      <c r="TD1" s="79"/>
      <c r="TE1" s="79"/>
      <c r="TF1" s="79"/>
      <c r="TG1" s="79"/>
      <c r="TH1" s="79"/>
      <c r="TI1" s="79"/>
      <c r="TJ1" s="79"/>
      <c r="TK1" s="79"/>
      <c r="TL1" s="79"/>
      <c r="TM1" s="79"/>
      <c r="TN1" s="79"/>
      <c r="TO1" s="79"/>
      <c r="TP1" s="79"/>
      <c r="TQ1" s="79"/>
      <c r="TR1" s="79"/>
      <c r="TS1" s="79"/>
      <c r="TT1" s="79"/>
      <c r="TU1" s="79"/>
      <c r="TV1" s="79"/>
      <c r="TW1" s="79"/>
      <c r="TX1" s="79"/>
      <c r="TY1" s="79"/>
      <c r="TZ1" s="79"/>
      <c r="UA1" s="79"/>
      <c r="UB1" s="79"/>
      <c r="UC1" s="79"/>
      <c r="UD1" s="79"/>
      <c r="UE1" s="79"/>
      <c r="UF1" s="79"/>
      <c r="UG1" s="79"/>
      <c r="UH1" s="79"/>
      <c r="UI1" s="79"/>
      <c r="UJ1" s="79"/>
      <c r="UK1" s="79"/>
      <c r="UL1" s="79"/>
      <c r="UM1" s="79"/>
      <c r="UN1" s="79"/>
      <c r="UO1" s="79"/>
      <c r="UP1" s="79"/>
      <c r="UQ1" s="79"/>
      <c r="UR1" s="79"/>
      <c r="US1" s="79"/>
      <c r="UT1" s="79"/>
      <c r="UU1" s="79"/>
      <c r="UV1" s="79"/>
      <c r="UW1" s="79"/>
      <c r="UX1" s="79"/>
      <c r="UY1" s="79"/>
      <c r="UZ1" s="79"/>
      <c r="VA1" s="79"/>
      <c r="VB1" s="79"/>
      <c r="VC1" s="79"/>
      <c r="VD1" s="79"/>
      <c r="VE1" s="79"/>
      <c r="VF1" s="79"/>
      <c r="VG1" s="79"/>
      <c r="VH1" s="79"/>
      <c r="VI1" s="79"/>
      <c r="VJ1" s="79"/>
      <c r="VK1" s="79"/>
      <c r="VL1" s="79"/>
      <c r="VM1" s="79"/>
      <c r="VN1" s="79"/>
      <c r="VO1" s="79"/>
      <c r="VP1" s="79"/>
      <c r="VQ1" s="79"/>
      <c r="VR1" s="79"/>
      <c r="VS1" s="79"/>
      <c r="VT1" s="79"/>
      <c r="VU1" s="79"/>
      <c r="VV1" s="79"/>
      <c r="VW1" s="79"/>
      <c r="VX1" s="79"/>
      <c r="VY1" s="79"/>
      <c r="VZ1" s="79"/>
      <c r="WA1" s="79"/>
      <c r="WB1" s="79"/>
      <c r="WC1" s="79"/>
      <c r="WD1" s="79"/>
      <c r="WE1" s="79"/>
      <c r="WF1" s="79"/>
      <c r="WG1" s="79"/>
      <c r="WH1" s="79"/>
      <c r="WI1" s="79"/>
      <c r="WJ1" s="79"/>
      <c r="WK1" s="79"/>
      <c r="WL1" s="79"/>
      <c r="WM1" s="79"/>
      <c r="WN1" s="79"/>
      <c r="WO1" s="79"/>
      <c r="WP1" s="79"/>
      <c r="WQ1" s="79"/>
      <c r="WR1" s="79"/>
      <c r="WS1" s="79"/>
      <c r="WT1" s="79"/>
      <c r="WU1" s="79"/>
      <c r="WV1" s="79"/>
      <c r="WW1" s="79"/>
      <c r="WX1" s="79"/>
      <c r="WY1" s="79"/>
      <c r="WZ1" s="79"/>
      <c r="XA1" s="79"/>
      <c r="XB1" s="79"/>
      <c r="XC1" s="79"/>
      <c r="XD1" s="79"/>
      <c r="XE1" s="79"/>
      <c r="XF1" s="79"/>
      <c r="XG1" s="79"/>
      <c r="XH1" s="79"/>
      <c r="XI1" s="79"/>
      <c r="XJ1" s="79"/>
      <c r="XK1" s="79"/>
      <c r="XL1" s="79"/>
      <c r="XM1" s="79"/>
      <c r="XN1" s="79"/>
      <c r="XO1" s="79"/>
      <c r="XP1" s="79"/>
      <c r="XQ1" s="79"/>
      <c r="XR1" s="79"/>
      <c r="XS1" s="79"/>
      <c r="XT1" s="79"/>
      <c r="XU1" s="79"/>
      <c r="XV1" s="79"/>
      <c r="XW1" s="79"/>
      <c r="XX1" s="79"/>
      <c r="XY1" s="79"/>
      <c r="XZ1" s="79"/>
      <c r="YA1" s="79"/>
    </row>
    <row r="2" spans="1:651" s="266" customFormat="1" ht="114" customHeight="1">
      <c r="A2" s="79"/>
      <c r="B2" s="436"/>
      <c r="C2" s="79"/>
      <c r="D2" s="400"/>
      <c r="E2" s="393" t="s">
        <v>369</v>
      </c>
      <c r="F2" s="394" t="s">
        <v>370</v>
      </c>
      <c r="G2" s="394" t="s">
        <v>371</v>
      </c>
      <c r="H2" s="395" t="str">
        <f>'Model Inputs'!E6</f>
        <v>Percentage of Population that seeks care and receives treatment</v>
      </c>
      <c r="I2" s="393" t="s">
        <v>372</v>
      </c>
      <c r="J2" s="395" t="str">
        <f>_xlfn.CONCAT("Percentage of Population that Receives care at Public vs. Private. vs. ",Setting!E25)</f>
        <v>Percentage of Population that Receives care at Public vs. Private. vs. Other</v>
      </c>
      <c r="K2" s="393" t="s">
        <v>373</v>
      </c>
      <c r="L2" s="395" t="s">
        <v>374</v>
      </c>
      <c r="M2" s="394" t="s">
        <v>375</v>
      </c>
      <c r="N2" s="395" t="s">
        <v>376</v>
      </c>
      <c r="O2" s="393" t="s">
        <v>377</v>
      </c>
      <c r="P2" s="395" t="s">
        <v>378</v>
      </c>
      <c r="Q2" s="393" t="s">
        <v>379</v>
      </c>
      <c r="R2" s="365"/>
      <c r="S2" s="393" t="s">
        <v>380</v>
      </c>
      <c r="T2" s="79"/>
      <c r="U2" s="393" t="s">
        <v>48</v>
      </c>
      <c r="V2" s="393" t="s">
        <v>49</v>
      </c>
      <c r="W2" s="393" t="s">
        <v>50</v>
      </c>
      <c r="X2" s="393" t="s">
        <v>381</v>
      </c>
      <c r="Y2" s="393" t="str">
        <f>_xlfn.CONCAT("Probability of ",Setting!E16)</f>
        <v>Probability of severe pneumonia</v>
      </c>
      <c r="Z2" s="393" t="str">
        <f>_xlfn.CONCAT("Probability of ",Setting!E17)</f>
        <v>Probability of very severe pneumonia</v>
      </c>
      <c r="AA2" s="393" t="str">
        <f>_xlfn.CONCAT("Probability of ",Setting!E18)</f>
        <v>Probability of Custom 3</v>
      </c>
      <c r="AB2" s="393" t="str">
        <f>_xlfn.CONCAT("Probability of ",Setting!E19)</f>
        <v>Probability of Custom 4</v>
      </c>
      <c r="AC2" s="365"/>
      <c r="AD2" s="393" t="s">
        <v>382</v>
      </c>
      <c r="AE2" s="393" t="s">
        <v>383</v>
      </c>
      <c r="AF2" s="393" t="s">
        <v>384</v>
      </c>
      <c r="AG2" s="393" t="s">
        <v>385</v>
      </c>
      <c r="AH2" s="393" t="str">
        <f>_xlfn.CONCAT("Probability of  Branch * Probability of  ",Setting!E16)</f>
        <v>Probability of  Branch * Probability of  severe pneumonia</v>
      </c>
      <c r="AI2" s="393" t="str">
        <f>_xlfn.CONCAT("Probability of  Branch * Probability of  ",Setting!E17)</f>
        <v>Probability of  Branch * Probability of  very severe pneumonia</v>
      </c>
      <c r="AJ2" s="393" t="str">
        <f>_xlfn.CONCAT("Probability of  Branch * Probability of  ",Setting!E18)</f>
        <v>Probability of  Branch * Probability of  Custom 3</v>
      </c>
      <c r="AK2" s="393" t="str">
        <f>_xlfn.CONCAT("Probability of  Branch * Probability of  ",Setting!E19)</f>
        <v>Probability of  Branch * Probability of  Custom 4</v>
      </c>
      <c r="AL2" s="79"/>
      <c r="AM2" s="393" t="s">
        <v>386</v>
      </c>
      <c r="AN2" s="393" t="s">
        <v>387</v>
      </c>
      <c r="AO2" s="393" t="s">
        <v>388</v>
      </c>
      <c r="AP2" s="393" t="s">
        <v>389</v>
      </c>
      <c r="AQ2" s="393" t="s">
        <v>390</v>
      </c>
      <c r="AR2" s="393" t="str">
        <f>_xlfn.CONCAT("Number of patients by payoff (",Setting!E16,")")</f>
        <v>Number of patients by payoff (severe pneumonia)</v>
      </c>
      <c r="AS2" s="393" t="str">
        <f>_xlfn.CONCAT("Number of patients by payoff (",Setting!E17,")")</f>
        <v>Number of patients by payoff (very severe pneumonia)</v>
      </c>
      <c r="AT2" s="393" t="str">
        <f>_xlfn.CONCAT("Number of patients by payoff (",Setting!E18,")")</f>
        <v>Number of patients by payoff (Custom 3)</v>
      </c>
      <c r="AU2" s="393" t="str">
        <f>_xlfn.CONCAT("Number of patients by payoff (",Setting!E19,")")</f>
        <v>Number of patients by payoff (Custom 4)</v>
      </c>
      <c r="AV2" s="79"/>
      <c r="AW2" s="395" t="str">
        <f>'Model Inputs'!E27</f>
        <v>Proportion of Substandard and Falsified Medicines that are Adulterated</v>
      </c>
      <c r="AX2" s="365"/>
      <c r="AY2" s="412" t="s">
        <v>391</v>
      </c>
      <c r="AZ2" s="412" t="str">
        <f>'Model Inputs'!E178</f>
        <v>severe pneumonia Management Unit cost at Different Treatment Locations</v>
      </c>
      <c r="BA2" s="412" t="str">
        <f>'Model Inputs'!E187</f>
        <v>very severe pneumonia Management Unit cost at Different Treatment Locations</v>
      </c>
      <c r="BB2" s="412" t="str">
        <f>'Model Inputs'!E196</f>
        <v>Custom 3 Management Unit cost at Different Treatment Locations</v>
      </c>
      <c r="BC2" s="412" t="str">
        <f>'Model Inputs'!E205</f>
        <v>Custom 4 Management Unit cost at Different Treatment Locations</v>
      </c>
      <c r="BD2" s="365"/>
      <c r="BE2" s="412" t="str">
        <f>_xlfn.CONCAT("Productivity loss for ",Setting!E16)</f>
        <v>Productivity loss for severe pneumonia</v>
      </c>
      <c r="BF2" s="412" t="str">
        <f>_xlfn.CONCAT("Productivity loss for ",Setting!E17)</f>
        <v>Productivity loss for very severe pneumonia</v>
      </c>
      <c r="BG2" s="412" t="str">
        <f>_xlfn.CONCAT("Productivity loss for ",Setting!E18)</f>
        <v>Productivity loss for Custom 3</v>
      </c>
      <c r="BH2" s="412" t="str">
        <f>_xlfn.CONCAT("Productivity loss for ",Setting!E19)</f>
        <v>Productivity loss for Custom 4</v>
      </c>
      <c r="BI2" s="79" t="s">
        <v>392</v>
      </c>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c r="NY2" s="79"/>
      <c r="NZ2" s="79"/>
      <c r="OA2" s="79"/>
      <c r="OB2" s="79"/>
      <c r="OC2" s="79"/>
      <c r="OD2" s="79"/>
      <c r="OE2" s="79"/>
      <c r="OF2" s="79"/>
      <c r="OG2" s="79"/>
      <c r="OH2" s="79"/>
      <c r="OI2" s="79"/>
      <c r="OJ2" s="79"/>
      <c r="OK2" s="79"/>
      <c r="OL2" s="79"/>
      <c r="OM2" s="79"/>
      <c r="ON2" s="79"/>
      <c r="OO2" s="79"/>
      <c r="OP2" s="79"/>
      <c r="OQ2" s="79"/>
      <c r="OR2" s="79"/>
      <c r="OS2" s="79"/>
      <c r="OT2" s="79"/>
      <c r="OU2" s="79"/>
      <c r="OV2" s="79"/>
      <c r="OW2" s="79"/>
      <c r="OX2" s="79"/>
      <c r="OY2" s="79"/>
      <c r="OZ2" s="79"/>
      <c r="PA2" s="79"/>
      <c r="PB2" s="79"/>
      <c r="PC2" s="79"/>
      <c r="PD2" s="79"/>
      <c r="PE2" s="79"/>
      <c r="PF2" s="79"/>
      <c r="PG2" s="79"/>
      <c r="PH2" s="79"/>
      <c r="PI2" s="79"/>
      <c r="PJ2" s="79"/>
      <c r="PK2" s="79"/>
      <c r="PL2" s="79"/>
      <c r="PM2" s="79"/>
      <c r="PN2" s="79"/>
      <c r="PO2" s="79"/>
      <c r="PP2" s="79"/>
      <c r="PQ2" s="79"/>
      <c r="PR2" s="79"/>
      <c r="PS2" s="79"/>
      <c r="PT2" s="79"/>
      <c r="PU2" s="79"/>
      <c r="PV2" s="79"/>
      <c r="PW2" s="79"/>
      <c r="PX2" s="79"/>
      <c r="PY2" s="79"/>
      <c r="PZ2" s="79"/>
      <c r="QA2" s="79"/>
      <c r="QB2" s="79"/>
      <c r="QC2" s="79"/>
      <c r="QD2" s="79"/>
      <c r="QE2" s="79"/>
      <c r="QF2" s="79"/>
      <c r="QG2" s="79"/>
      <c r="QH2" s="79"/>
      <c r="QI2" s="79"/>
      <c r="QJ2" s="79"/>
      <c r="QK2" s="79"/>
      <c r="QL2" s="79"/>
      <c r="QM2" s="79"/>
      <c r="QN2" s="79"/>
      <c r="QO2" s="79"/>
      <c r="QP2" s="79"/>
      <c r="QQ2" s="79"/>
      <c r="QR2" s="79"/>
      <c r="QS2" s="79"/>
      <c r="QT2" s="79"/>
      <c r="QU2" s="79"/>
      <c r="QV2" s="79"/>
      <c r="QW2" s="79"/>
      <c r="QX2" s="79"/>
      <c r="QY2" s="79"/>
      <c r="QZ2" s="79"/>
      <c r="RA2" s="79"/>
      <c r="RB2" s="79"/>
      <c r="RC2" s="79"/>
      <c r="RD2" s="79"/>
      <c r="RE2" s="79"/>
      <c r="RF2" s="79"/>
      <c r="RG2" s="79"/>
      <c r="RH2" s="79"/>
      <c r="RI2" s="79"/>
      <c r="RJ2" s="79"/>
      <c r="RK2" s="79"/>
      <c r="RL2" s="79"/>
      <c r="RM2" s="79"/>
      <c r="RN2" s="79"/>
      <c r="RO2" s="79"/>
      <c r="RP2" s="79"/>
      <c r="RQ2" s="79"/>
      <c r="RR2" s="79"/>
      <c r="RS2" s="79"/>
      <c r="RT2" s="79"/>
      <c r="RU2" s="79"/>
      <c r="RV2" s="79"/>
      <c r="RW2" s="79"/>
      <c r="RX2" s="79"/>
      <c r="RY2" s="79"/>
      <c r="RZ2" s="79"/>
      <c r="SA2" s="79"/>
      <c r="SB2" s="79"/>
      <c r="SC2" s="79"/>
      <c r="SD2" s="79"/>
      <c r="SE2" s="79"/>
      <c r="SF2" s="79"/>
      <c r="SG2" s="79"/>
      <c r="SH2" s="79"/>
      <c r="SI2" s="79"/>
      <c r="SJ2" s="79"/>
      <c r="SK2" s="79"/>
      <c r="SL2" s="79"/>
      <c r="SM2" s="79"/>
      <c r="SN2" s="79"/>
      <c r="SO2" s="79"/>
      <c r="SP2" s="79"/>
      <c r="SQ2" s="79"/>
      <c r="SR2" s="79"/>
      <c r="SS2" s="79"/>
      <c r="ST2" s="79"/>
      <c r="SU2" s="79"/>
      <c r="SV2" s="79"/>
      <c r="SW2" s="79"/>
      <c r="SX2" s="79"/>
      <c r="SY2" s="79"/>
      <c r="SZ2" s="79"/>
      <c r="TA2" s="79"/>
      <c r="TB2" s="79"/>
      <c r="TC2" s="79"/>
      <c r="TD2" s="79"/>
      <c r="TE2" s="79"/>
      <c r="TF2" s="79"/>
      <c r="TG2" s="79"/>
      <c r="TH2" s="79"/>
      <c r="TI2" s="79"/>
      <c r="TJ2" s="79"/>
      <c r="TK2" s="79"/>
      <c r="TL2" s="79"/>
      <c r="TM2" s="79"/>
      <c r="TN2" s="79"/>
      <c r="TO2" s="79"/>
      <c r="TP2" s="79"/>
      <c r="TQ2" s="79"/>
      <c r="TR2" s="79"/>
      <c r="TS2" s="79"/>
      <c r="TT2" s="79"/>
      <c r="TU2" s="79"/>
      <c r="TV2" s="79"/>
      <c r="TW2" s="79"/>
      <c r="TX2" s="79"/>
      <c r="TY2" s="79"/>
      <c r="TZ2" s="79"/>
      <c r="UA2" s="79"/>
      <c r="UB2" s="79"/>
      <c r="UC2" s="79"/>
      <c r="UD2" s="79"/>
      <c r="UE2" s="79"/>
      <c r="UF2" s="79"/>
      <c r="UG2" s="79"/>
      <c r="UH2" s="79"/>
      <c r="UI2" s="79"/>
      <c r="UJ2" s="79"/>
      <c r="UK2" s="79"/>
      <c r="UL2" s="79"/>
      <c r="UM2" s="79"/>
      <c r="UN2" s="79"/>
      <c r="UO2" s="79"/>
      <c r="UP2" s="79"/>
      <c r="UQ2" s="79"/>
      <c r="UR2" s="79"/>
      <c r="US2" s="79"/>
      <c r="UT2" s="79"/>
      <c r="UU2" s="79"/>
      <c r="UV2" s="79"/>
      <c r="UW2" s="79"/>
      <c r="UX2" s="79"/>
      <c r="UY2" s="79"/>
      <c r="UZ2" s="79"/>
      <c r="VA2" s="79"/>
      <c r="VB2" s="79"/>
      <c r="VC2" s="79"/>
      <c r="VD2" s="79"/>
      <c r="VE2" s="79"/>
      <c r="VF2" s="79"/>
      <c r="VG2" s="79"/>
      <c r="VH2" s="79"/>
      <c r="VI2" s="79"/>
      <c r="VJ2" s="79"/>
      <c r="VK2" s="79"/>
      <c r="VL2" s="79"/>
      <c r="VM2" s="79"/>
      <c r="VN2" s="79"/>
      <c r="VO2" s="79"/>
      <c r="VP2" s="79"/>
      <c r="VQ2" s="79"/>
      <c r="VR2" s="79"/>
      <c r="VS2" s="79"/>
      <c r="VT2" s="79"/>
      <c r="VU2" s="79"/>
      <c r="VV2" s="79"/>
      <c r="VW2" s="79"/>
      <c r="VX2" s="79"/>
      <c r="VY2" s="79"/>
      <c r="VZ2" s="79"/>
      <c r="WA2" s="79"/>
      <c r="WB2" s="79"/>
      <c r="WC2" s="79"/>
      <c r="WD2" s="79"/>
      <c r="WE2" s="79"/>
      <c r="WF2" s="79"/>
      <c r="WG2" s="79"/>
      <c r="WH2" s="79"/>
      <c r="WI2" s="79"/>
      <c r="WJ2" s="79"/>
      <c r="WK2" s="79"/>
      <c r="WL2" s="79"/>
      <c r="WM2" s="79"/>
      <c r="WN2" s="79"/>
      <c r="WO2" s="79"/>
      <c r="WP2" s="79"/>
      <c r="WQ2" s="79"/>
      <c r="WR2" s="79"/>
      <c r="WS2" s="79"/>
      <c r="WT2" s="79"/>
      <c r="WU2" s="79"/>
      <c r="WV2" s="79"/>
      <c r="WW2" s="79"/>
      <c r="WX2" s="79"/>
      <c r="WY2" s="79"/>
      <c r="WZ2" s="79"/>
      <c r="XA2" s="79"/>
      <c r="XB2" s="79"/>
      <c r="XC2" s="79"/>
      <c r="XD2" s="79"/>
      <c r="XE2" s="79"/>
      <c r="XF2" s="79"/>
      <c r="XG2" s="79"/>
      <c r="XH2" s="79"/>
      <c r="XI2" s="79"/>
      <c r="XJ2" s="79"/>
      <c r="XK2" s="79"/>
      <c r="XL2" s="79"/>
      <c r="XM2" s="79"/>
      <c r="XN2" s="79"/>
      <c r="XO2" s="79"/>
      <c r="XP2" s="79"/>
      <c r="XQ2" s="79"/>
      <c r="XR2" s="79"/>
      <c r="XS2" s="79"/>
      <c r="XT2" s="79"/>
      <c r="XU2" s="79"/>
      <c r="XV2" s="79"/>
      <c r="XW2" s="79"/>
      <c r="XX2" s="79"/>
      <c r="XY2" s="79"/>
      <c r="XZ2" s="79"/>
      <c r="YA2" s="79"/>
    </row>
    <row r="3" spans="1:651" s="79" customFormat="1">
      <c r="A3" s="363"/>
      <c r="B3" s="364"/>
      <c r="C3" s="363"/>
      <c r="D3" s="82"/>
      <c r="E3" s="82"/>
      <c r="F3" s="82"/>
      <c r="G3" s="82"/>
      <c r="H3" s="401"/>
      <c r="I3" s="82"/>
      <c r="J3" s="401"/>
      <c r="K3" s="82"/>
      <c r="L3" s="401"/>
      <c r="M3" s="82"/>
      <c r="N3" s="401"/>
      <c r="O3" s="82"/>
      <c r="P3" s="401"/>
      <c r="Q3" s="82"/>
      <c r="AW3" s="80"/>
      <c r="AY3" s="159"/>
      <c r="AZ3" s="159"/>
      <c r="BA3" s="159"/>
      <c r="BB3" s="159"/>
      <c r="BC3" s="159"/>
      <c r="BE3" s="159"/>
      <c r="BF3" s="159"/>
      <c r="BG3" s="159"/>
      <c r="BH3" s="159"/>
    </row>
    <row r="4" spans="1:651">
      <c r="B4" s="244"/>
      <c r="C4" s="8"/>
      <c r="D4" s="429" t="str">
        <f t="shared" ref="D4:D7" si="0">_xlfn.CONCAT(F4,"_",G4,"_",I4,"_",K4,"_",M4)</f>
        <v>Real world scenario_Seek care_Public location_Hospital_Standard Quality</v>
      </c>
      <c r="E4" s="429">
        <f t="shared" ref="E4:E46" si="1">pop_elig</f>
        <v>1000000</v>
      </c>
      <c r="F4" s="429" t="s">
        <v>393</v>
      </c>
      <c r="G4" s="429" t="s">
        <v>371</v>
      </c>
      <c r="H4" s="430">
        <f t="shared" ref="H4:H45" si="2">pop_seek</f>
        <v>0.35</v>
      </c>
      <c r="I4" s="429" t="s">
        <v>394</v>
      </c>
      <c r="J4" s="430">
        <f t="shared" ref="J4:J17" si="3">pop_receive_pub</f>
        <v>0.5</v>
      </c>
      <c r="K4" s="429" t="s">
        <v>395</v>
      </c>
      <c r="L4" s="430">
        <f>p_pub_hos</f>
        <v>0.5</v>
      </c>
      <c r="M4" s="429" t="s">
        <v>23</v>
      </c>
      <c r="N4" s="430">
        <f>1-(p_p1_pubh_ss1+p_p1_pubh_ss2+p_p1_pubh_f)</f>
        <v>0.83799999999999997</v>
      </c>
      <c r="O4" s="431" t="s">
        <v>396</v>
      </c>
      <c r="P4" s="430"/>
      <c r="Q4" s="429">
        <f>H4*J4*L4*N4</f>
        <v>7.3324999999999987E-2</v>
      </c>
      <c r="S4" s="425">
        <v>1</v>
      </c>
      <c r="U4" s="425">
        <f>ly_tx</f>
        <v>0</v>
      </c>
      <c r="V4" s="425">
        <f>qaly_tx</f>
        <v>0</v>
      </c>
      <c r="W4" s="425">
        <f>daly_tx</f>
        <v>0</v>
      </c>
      <c r="X4" s="425">
        <f>death_tx</f>
        <v>3.0000000000000001E-3</v>
      </c>
      <c r="Y4" s="425">
        <f>custom1_tx</f>
        <v>7.4999999999999997E-2</v>
      </c>
      <c r="Z4" s="425">
        <f>custom2_tx</f>
        <v>0.03</v>
      </c>
      <c r="AA4" s="425">
        <f>custom3_tx</f>
        <v>0</v>
      </c>
      <c r="AB4" s="425">
        <f>custom4_tx</f>
        <v>0</v>
      </c>
      <c r="AD4" s="425">
        <f t="shared" ref="AD4:AD46" si="4">Q4*U4</f>
        <v>0</v>
      </c>
      <c r="AE4" s="425">
        <f t="shared" ref="AE4:AE46" si="5">Q4*V4</f>
        <v>0</v>
      </c>
      <c r="AF4" s="425">
        <f t="shared" ref="AF4:AF46" si="6">Q4*W4</f>
        <v>0</v>
      </c>
      <c r="AG4" s="425">
        <f t="shared" ref="AG4:AG46" si="7">Q4*X4</f>
        <v>2.1997499999999997E-4</v>
      </c>
      <c r="AH4" s="425">
        <f t="shared" ref="AH4:AH46" si="8">Q4*Y4</f>
        <v>5.4993749999999991E-3</v>
      </c>
      <c r="AI4" s="425">
        <f t="shared" ref="AI4:AI46" si="9">Q4*Z4</f>
        <v>2.1997499999999994E-3</v>
      </c>
      <c r="AJ4" s="425">
        <f t="shared" ref="AJ4:AJ46" si="10">Q4*AA4</f>
        <v>0</v>
      </c>
      <c r="AK4" s="425">
        <f t="shared" ref="AK4:AK46" si="11">Q4*AB4</f>
        <v>0</v>
      </c>
      <c r="AM4" s="426">
        <f t="shared" ref="AM4:AM46" si="12">Q4*E4</f>
        <v>73324.999999999985</v>
      </c>
      <c r="AN4" s="425">
        <f t="shared" ref="AN4:AN46" si="13">E4*AD4</f>
        <v>0</v>
      </c>
      <c r="AO4" s="425">
        <f t="shared" ref="AO4:AO46" si="14">E4*AE4</f>
        <v>0</v>
      </c>
      <c r="AP4" s="425">
        <f t="shared" ref="AP4:AP46" si="15">E4*AF4</f>
        <v>0</v>
      </c>
      <c r="AQ4" s="425">
        <f t="shared" ref="AQ4:AQ46" si="16">E4*AG4</f>
        <v>219.97499999999997</v>
      </c>
      <c r="AR4" s="425">
        <f t="shared" ref="AR4:AR46" si="17">E4*AH4</f>
        <v>5499.3749999999991</v>
      </c>
      <c r="AS4" s="425">
        <f t="shared" ref="AS4:AS46" si="18">E4*AI4</f>
        <v>2199.7499999999995</v>
      </c>
      <c r="AT4" s="425">
        <f t="shared" ref="AT4:AT46" si="19">E4*AJ4</f>
        <v>0</v>
      </c>
      <c r="AU4" s="425">
        <f t="shared" ref="AU4:AU46" si="20">E4*AK4</f>
        <v>0</v>
      </c>
      <c r="AW4" s="423">
        <v>0</v>
      </c>
      <c r="AY4" s="419">
        <f t="shared" ref="AY4:AY10" si="21">_xlfn.SINGLE(IF(AND(I4="Public location", K4="Hospital"),c_drug_pub_hos, c_drug_pub_hc))*S4</f>
        <v>0</v>
      </c>
      <c r="AZ4" s="419">
        <f t="shared" ref="AZ4:AZ17" si="22">_xlfn.SINGLE(IF(AND(N4="Public location", T4="Hospital"),c_custom1_pubhosp, c_custom1_pubhc))</f>
        <v>258.93</v>
      </c>
      <c r="BA4" s="419">
        <f>_xlfn.SINGLE(IF(AND(Q4="Public location", U4="Hospital"),c_custom2_pubhosp, c_custom2_pubhc))</f>
        <v>849</v>
      </c>
      <c r="BB4" s="419">
        <f>_xlfn.SINGLE(IF(AND(T4="Public location", V4="Hospital"),c_custom3_pubhosp, c_custom3_pubhc))</f>
        <v>0</v>
      </c>
      <c r="BC4" s="419">
        <f>_xlfn.SINGLE(IF(AND(U4="Public location", W4="Hospital"),c_custom4_pubhosp, c_custom4_pubhc))</f>
        <v>0</v>
      </c>
      <c r="BE4" s="419">
        <f>wage_rate*sickdays_1_tx</f>
        <v>37.119999999999997</v>
      </c>
      <c r="BF4" s="419">
        <f>wage_rate*sickdays_2_tx</f>
        <v>53.359999999999992</v>
      </c>
      <c r="BG4" s="419">
        <f>wage_rate*sickdays_3_tx</f>
        <v>0</v>
      </c>
      <c r="BH4" s="443">
        <f>wage_rate*sickdays_4_tx</f>
        <v>0</v>
      </c>
    </row>
    <row r="5" spans="1:651" ht="15.5">
      <c r="B5" s="560" t="s">
        <v>1</v>
      </c>
      <c r="C5" s="8"/>
      <c r="D5" s="429" t="str">
        <f t="shared" si="0"/>
        <v>Real world scenario_Seek care_Public location_Hospital_Substandard Quality1</v>
      </c>
      <c r="E5" s="429">
        <f t="shared" si="1"/>
        <v>1000000</v>
      </c>
      <c r="F5" s="429" t="s">
        <v>393</v>
      </c>
      <c r="G5" s="429" t="s">
        <v>371</v>
      </c>
      <c r="H5" s="430">
        <f t="shared" si="2"/>
        <v>0.35</v>
      </c>
      <c r="I5" s="429" t="s">
        <v>394</v>
      </c>
      <c r="J5" s="430">
        <f t="shared" si="3"/>
        <v>0.5</v>
      </c>
      <c r="K5" s="429" t="s">
        <v>395</v>
      </c>
      <c r="L5" s="430">
        <f t="shared" ref="L5:L10" si="23">p_pub_hos</f>
        <v>0.5</v>
      </c>
      <c r="M5" s="429" t="s">
        <v>397</v>
      </c>
      <c r="N5" s="430">
        <f>p_p1_pubh_ss1</f>
        <v>0.1</v>
      </c>
      <c r="O5" s="429" t="s">
        <v>57</v>
      </c>
      <c r="P5" s="430">
        <f>p_updose_pubhos</f>
        <v>0</v>
      </c>
      <c r="Q5" s="429">
        <f t="shared" ref="Q5:Q43" si="24">H5*J5*L5*N5*P5</f>
        <v>0</v>
      </c>
      <c r="S5" s="425">
        <f>total_doses_up_ss1</f>
        <v>0</v>
      </c>
      <c r="U5" s="425">
        <f>ly_tx</f>
        <v>0</v>
      </c>
      <c r="V5" s="425">
        <f>qaly_tx</f>
        <v>0</v>
      </c>
      <c r="W5" s="425">
        <f>daly_tx</f>
        <v>0</v>
      </c>
      <c r="X5" s="425">
        <f>death_tx</f>
        <v>3.0000000000000001E-3</v>
      </c>
      <c r="Y5" s="425">
        <f>custom1_tx</f>
        <v>7.4999999999999997E-2</v>
      </c>
      <c r="Z5" s="425">
        <f>custom2_tx</f>
        <v>0.03</v>
      </c>
      <c r="AA5" s="425">
        <f>custom3_tx</f>
        <v>0</v>
      </c>
      <c r="AB5" s="425">
        <f>custom4_tx</f>
        <v>0</v>
      </c>
      <c r="AD5" s="425">
        <f t="shared" si="4"/>
        <v>0</v>
      </c>
      <c r="AE5" s="425">
        <f t="shared" si="5"/>
        <v>0</v>
      </c>
      <c r="AF5" s="425">
        <f t="shared" si="6"/>
        <v>0</v>
      </c>
      <c r="AG5" s="425">
        <f t="shared" si="7"/>
        <v>0</v>
      </c>
      <c r="AH5" s="425">
        <f t="shared" si="8"/>
        <v>0</v>
      </c>
      <c r="AI5" s="425">
        <f t="shared" si="9"/>
        <v>0</v>
      </c>
      <c r="AJ5" s="425">
        <f t="shared" si="10"/>
        <v>0</v>
      </c>
      <c r="AK5" s="425">
        <f t="shared" si="11"/>
        <v>0</v>
      </c>
      <c r="AM5" s="426">
        <f t="shared" si="12"/>
        <v>0</v>
      </c>
      <c r="AN5" s="425">
        <f t="shared" si="13"/>
        <v>0</v>
      </c>
      <c r="AO5" s="425">
        <f t="shared" si="14"/>
        <v>0</v>
      </c>
      <c r="AP5" s="425">
        <f t="shared" si="15"/>
        <v>0</v>
      </c>
      <c r="AQ5" s="425">
        <f t="shared" si="16"/>
        <v>0</v>
      </c>
      <c r="AR5" s="425">
        <f t="shared" si="17"/>
        <v>0</v>
      </c>
      <c r="AS5" s="425">
        <f t="shared" si="18"/>
        <v>0</v>
      </c>
      <c r="AT5" s="425">
        <f t="shared" si="19"/>
        <v>0</v>
      </c>
      <c r="AU5" s="425">
        <f t="shared" si="20"/>
        <v>0</v>
      </c>
      <c r="AW5" s="423">
        <f>p_ss1_ad</f>
        <v>0</v>
      </c>
      <c r="AY5" s="419">
        <f t="shared" si="21"/>
        <v>0</v>
      </c>
      <c r="AZ5" s="419">
        <f t="shared" si="22"/>
        <v>258.93</v>
      </c>
      <c r="BA5" s="419">
        <f>_xlfn.SINGLE(IF(AND(Q5="Public location", U5="Hospital"),c_custom2_pubhosp, c_custom2_pubhc))</f>
        <v>849</v>
      </c>
      <c r="BB5" s="419">
        <f t="shared" ref="BB5:BB10" si="25">_xlfn.SINGLE(IF(AND(T5="Public location", V6="Hospital"),c_custom3_pubhosp, c_custom3_pubhc))</f>
        <v>0</v>
      </c>
      <c r="BC5" s="419">
        <f>_xlfn.SINGLE(IF(AND(U5="Public location", W6="Hospital"),c_custom4_pubhosp, c_custom4_pubhc))</f>
        <v>0</v>
      </c>
      <c r="BE5" s="419">
        <f>wage_rate*sickdays_1_tx</f>
        <v>37.119999999999997</v>
      </c>
      <c r="BF5" s="419">
        <f>wage_rate*sickdays_2_tx</f>
        <v>53.359999999999992</v>
      </c>
      <c r="BG5" s="419">
        <f>wage_rate*sickdays_3_tx</f>
        <v>0</v>
      </c>
      <c r="BH5" s="443">
        <f>wage_rate*sickdays_4_tx</f>
        <v>0</v>
      </c>
    </row>
    <row r="6" spans="1:651" ht="15.5">
      <c r="B6" s="561"/>
      <c r="C6" s="8"/>
      <c r="D6" s="429" t="str">
        <f t="shared" ref="D6" si="26">_xlfn.CONCAT(F6,"_",G6,"_",I6,"_",K6,"_",M6)</f>
        <v>Real world scenario_Seek care_Public location_Hospital_Substandard Quality1</v>
      </c>
      <c r="E6" s="429">
        <f t="shared" si="1"/>
        <v>1000000</v>
      </c>
      <c r="F6" s="429" t="s">
        <v>393</v>
      </c>
      <c r="G6" s="429" t="s">
        <v>371</v>
      </c>
      <c r="H6" s="430">
        <f t="shared" si="2"/>
        <v>0.35</v>
      </c>
      <c r="I6" s="429" t="s">
        <v>394</v>
      </c>
      <c r="J6" s="430">
        <f t="shared" si="3"/>
        <v>0.5</v>
      </c>
      <c r="K6" s="429" t="s">
        <v>395</v>
      </c>
      <c r="L6" s="430">
        <f t="shared" si="23"/>
        <v>0.5</v>
      </c>
      <c r="M6" s="429" t="s">
        <v>397</v>
      </c>
      <c r="N6" s="430">
        <f>p_p1_pubh_ss1</f>
        <v>0.1</v>
      </c>
      <c r="O6" s="429" t="s">
        <v>398</v>
      </c>
      <c r="P6" s="430">
        <f>1-p_updose_pubhos</f>
        <v>1</v>
      </c>
      <c r="Q6" s="429">
        <f t="shared" si="24"/>
        <v>8.7499999999999991E-3</v>
      </c>
      <c r="S6" s="425">
        <v>1</v>
      </c>
      <c r="U6" s="425">
        <f>(ly_tx-ly_notx)*p_txeff_ss1_s+ly_notx</f>
        <v>0</v>
      </c>
      <c r="V6" s="425">
        <f>(qaly_tx-qaly_notx)*p_txeff_ss1_s+qaly_notx</f>
        <v>0</v>
      </c>
      <c r="W6" s="425">
        <f>(daly_tx-daly_notx)*p_txeff_ss1_s+daly_notx</f>
        <v>0</v>
      </c>
      <c r="X6" s="425">
        <f>(death_tx-death_notx)*p_txeff_ss1_s+death_notx</f>
        <v>5.4000000000000003E-3</v>
      </c>
      <c r="Y6" s="425">
        <f>(custom1_tx-custom1_notx)*p_txeff_ss1_s+custom1_notx</f>
        <v>0.13700000000000001</v>
      </c>
      <c r="Z6" s="425">
        <f>(custom2_tx-custom2_notx)*p_txeff_ss1_s+custom2_notx</f>
        <v>5.4800000000000001E-2</v>
      </c>
      <c r="AA6" s="425">
        <f>(custom3_tx-custom3_notx)*p_txeff_ss1_s+custom3_notx</f>
        <v>0</v>
      </c>
      <c r="AB6" s="425">
        <f>(custom4_tx-custom4_notx)*p_txeff_ss1_s+custom4_notx</f>
        <v>0</v>
      </c>
      <c r="AD6" s="425">
        <f t="shared" si="4"/>
        <v>0</v>
      </c>
      <c r="AE6" s="425">
        <f t="shared" si="5"/>
        <v>0</v>
      </c>
      <c r="AF6" s="425">
        <f t="shared" si="6"/>
        <v>0</v>
      </c>
      <c r="AG6" s="425">
        <f t="shared" si="7"/>
        <v>4.7249999999999997E-5</v>
      </c>
      <c r="AH6" s="425">
        <f>Q6*Y6</f>
        <v>1.1987499999999999E-3</v>
      </c>
      <c r="AI6" s="425">
        <f t="shared" si="9"/>
        <v>4.7949999999999995E-4</v>
      </c>
      <c r="AJ6" s="425">
        <f>Q6*AA6</f>
        <v>0</v>
      </c>
      <c r="AK6" s="425">
        <f t="shared" si="11"/>
        <v>0</v>
      </c>
      <c r="AM6" s="426">
        <f t="shared" si="12"/>
        <v>8750</v>
      </c>
      <c r="AN6" s="425">
        <f t="shared" si="13"/>
        <v>0</v>
      </c>
      <c r="AO6" s="425">
        <f t="shared" si="14"/>
        <v>0</v>
      </c>
      <c r="AP6" s="425">
        <f t="shared" si="15"/>
        <v>0</v>
      </c>
      <c r="AQ6" s="425">
        <f t="shared" si="16"/>
        <v>47.25</v>
      </c>
      <c r="AR6" s="425">
        <f t="shared" si="17"/>
        <v>1198.75</v>
      </c>
      <c r="AS6" s="425">
        <f t="shared" si="18"/>
        <v>479.49999999999994</v>
      </c>
      <c r="AT6" s="425">
        <f t="shared" si="19"/>
        <v>0</v>
      </c>
      <c r="AU6" s="425">
        <f t="shared" si="20"/>
        <v>0</v>
      </c>
      <c r="AW6" s="423">
        <f>p_ss1_ad</f>
        <v>0</v>
      </c>
      <c r="AY6" s="419">
        <f t="shared" si="21"/>
        <v>0</v>
      </c>
      <c r="AZ6" s="419">
        <f t="shared" si="22"/>
        <v>258.93</v>
      </c>
      <c r="BA6" s="419">
        <f>_xlfn.SINGLE(IF(AND(Q6="Public location", U6="Hospital"),c_custom2_pubhosp, c_custom2_pubhc))</f>
        <v>849</v>
      </c>
      <c r="BB6" s="419">
        <f t="shared" si="25"/>
        <v>0</v>
      </c>
      <c r="BC6" s="419">
        <f>_xlfn.SINGLE(IF(AND(U6="Public location", W7="Hospital"),c_custom4_pubhosp, c_custom4_pubhc))</f>
        <v>0</v>
      </c>
      <c r="BE6" s="419">
        <f>wage_rate*((sickdays_1_tx-sickdays_1_notx)*p_txeff_ss1_s+sickdays_1_notx)</f>
        <v>37.119999999999997</v>
      </c>
      <c r="BF6" s="419">
        <f>wage_rate*((sickdays_2_tx-sickdays_2_notx)*p_txeff_ss1_s+sickdays_2_notx)</f>
        <v>53.359999999999992</v>
      </c>
      <c r="BG6" s="419">
        <f>wage_rate*((sickdays_3_tx-sickdays_3_notx)*p_txeff_ss1_s+sickdays_3_notx)</f>
        <v>0</v>
      </c>
      <c r="BH6" s="443">
        <f>wage_rate*((sickdays_4_tx-sickdays_4_notx)*p_txeff_ss1_s+sickdays_4_notx)</f>
        <v>0</v>
      </c>
    </row>
    <row r="7" spans="1:651">
      <c r="B7" s="245"/>
      <c r="C7" s="8"/>
      <c r="D7" s="429" t="str">
        <f t="shared" si="0"/>
        <v>Real world scenario_Seek care_Public location_Hospital_Substandard Quality2</v>
      </c>
      <c r="E7" s="429">
        <f t="shared" si="1"/>
        <v>1000000</v>
      </c>
      <c r="F7" s="429" t="s">
        <v>393</v>
      </c>
      <c r="G7" s="429" t="s">
        <v>371</v>
      </c>
      <c r="H7" s="430">
        <f t="shared" si="2"/>
        <v>0.35</v>
      </c>
      <c r="I7" s="429" t="s">
        <v>394</v>
      </c>
      <c r="J7" s="430">
        <f t="shared" si="3"/>
        <v>0.5</v>
      </c>
      <c r="K7" s="429" t="s">
        <v>395</v>
      </c>
      <c r="L7" s="430">
        <f t="shared" si="23"/>
        <v>0.5</v>
      </c>
      <c r="M7" s="429" t="s">
        <v>399</v>
      </c>
      <c r="N7" s="430">
        <f>p_p1_pubh_ss2</f>
        <v>0</v>
      </c>
      <c r="O7" s="429" t="s">
        <v>57</v>
      </c>
      <c r="P7" s="430">
        <f>p_updose_pubhos</f>
        <v>0</v>
      </c>
      <c r="Q7" s="429">
        <f>H7*J7*L7*N7*P7</f>
        <v>0</v>
      </c>
      <c r="S7" s="425">
        <f>total_doses_up_ss2</f>
        <v>0</v>
      </c>
      <c r="U7" s="425">
        <f>ly_tx</f>
        <v>0</v>
      </c>
      <c r="V7" s="425">
        <f>qaly_tx</f>
        <v>0</v>
      </c>
      <c r="W7" s="425">
        <f>daly_tx</f>
        <v>0</v>
      </c>
      <c r="X7" s="425">
        <f>death_tx</f>
        <v>3.0000000000000001E-3</v>
      </c>
      <c r="Y7" s="425">
        <f>custom1_tx</f>
        <v>7.4999999999999997E-2</v>
      </c>
      <c r="Z7" s="425">
        <f>custom2_tx</f>
        <v>0.03</v>
      </c>
      <c r="AA7" s="425">
        <f>custom3_tx</f>
        <v>0</v>
      </c>
      <c r="AB7" s="425">
        <f>custom4_tx</f>
        <v>0</v>
      </c>
      <c r="AD7" s="425">
        <f t="shared" si="4"/>
        <v>0</v>
      </c>
      <c r="AE7" s="425">
        <f t="shared" si="5"/>
        <v>0</v>
      </c>
      <c r="AF7" s="425">
        <f t="shared" si="6"/>
        <v>0</v>
      </c>
      <c r="AG7" s="425">
        <f t="shared" si="7"/>
        <v>0</v>
      </c>
      <c r="AH7" s="425">
        <f t="shared" si="8"/>
        <v>0</v>
      </c>
      <c r="AI7" s="425">
        <f t="shared" si="9"/>
        <v>0</v>
      </c>
      <c r="AJ7" s="425">
        <f t="shared" si="10"/>
        <v>0</v>
      </c>
      <c r="AK7" s="425">
        <f t="shared" si="11"/>
        <v>0</v>
      </c>
      <c r="AM7" s="426">
        <f t="shared" si="12"/>
        <v>0</v>
      </c>
      <c r="AN7" s="425">
        <f t="shared" si="13"/>
        <v>0</v>
      </c>
      <c r="AO7" s="425">
        <f t="shared" si="14"/>
        <v>0</v>
      </c>
      <c r="AP7" s="425">
        <f t="shared" si="15"/>
        <v>0</v>
      </c>
      <c r="AQ7" s="425">
        <f t="shared" si="16"/>
        <v>0</v>
      </c>
      <c r="AR7" s="425">
        <f t="shared" si="17"/>
        <v>0</v>
      </c>
      <c r="AS7" s="425">
        <f t="shared" si="18"/>
        <v>0</v>
      </c>
      <c r="AT7" s="425">
        <f t="shared" si="19"/>
        <v>0</v>
      </c>
      <c r="AU7" s="425">
        <f t="shared" si="20"/>
        <v>0</v>
      </c>
      <c r="AW7" s="423">
        <f>p_ss2_ad</f>
        <v>0</v>
      </c>
      <c r="AY7" s="419">
        <f t="shared" si="21"/>
        <v>0</v>
      </c>
      <c r="AZ7" s="419">
        <f t="shared" si="22"/>
        <v>258.93</v>
      </c>
      <c r="BA7" s="419">
        <f>_xlfn.SINGLE(IF(AND(Q7="Public location", U8="Hospital"),c_custom2_pubhosp, c_custom2_pubhc))</f>
        <v>849</v>
      </c>
      <c r="BB7" s="419">
        <f t="shared" si="25"/>
        <v>0</v>
      </c>
      <c r="BC7" s="419">
        <f>_xlfn.SINGLE(IF(AND(U8="Public location", W8="Hospital"),c_custom4_pubhosp, c_custom4_pubhc))</f>
        <v>0</v>
      </c>
      <c r="BE7" s="419">
        <f>wage_rate*sickdays_1_tx</f>
        <v>37.119999999999997</v>
      </c>
      <c r="BF7" s="419">
        <f>wage_rate*sickdays_2_tx</f>
        <v>53.359999999999992</v>
      </c>
      <c r="BG7" s="419">
        <f>wage_rate*sickdays_3_tx</f>
        <v>0</v>
      </c>
      <c r="BH7" s="443">
        <f>wage_rate*sickdays_4_tx</f>
        <v>0</v>
      </c>
    </row>
    <row r="8" spans="1:651" ht="15.5">
      <c r="B8" s="543" t="s">
        <v>5</v>
      </c>
      <c r="C8" s="8"/>
      <c r="D8" s="429" t="str">
        <f t="shared" ref="D8" si="27">_xlfn.CONCAT(F8,"_",G8,"_",I8,"_",K8,"_",M8)</f>
        <v>Real world scenario_Seek care_Public location_Hospital_Substandard Quality2</v>
      </c>
      <c r="E8" s="429">
        <f t="shared" si="1"/>
        <v>1000000</v>
      </c>
      <c r="F8" s="429" t="s">
        <v>393</v>
      </c>
      <c r="G8" s="429" t="s">
        <v>371</v>
      </c>
      <c r="H8" s="430">
        <f t="shared" si="2"/>
        <v>0.35</v>
      </c>
      <c r="I8" s="429" t="s">
        <v>394</v>
      </c>
      <c r="J8" s="430">
        <f t="shared" si="3"/>
        <v>0.5</v>
      </c>
      <c r="K8" s="429" t="s">
        <v>395</v>
      </c>
      <c r="L8" s="430">
        <f t="shared" si="23"/>
        <v>0.5</v>
      </c>
      <c r="M8" s="429" t="s">
        <v>399</v>
      </c>
      <c r="N8" s="430">
        <f>p_p1_pubh_ss2</f>
        <v>0</v>
      </c>
      <c r="O8" s="429" t="s">
        <v>398</v>
      </c>
      <c r="P8" s="430">
        <f>1-p_updose_pubhos</f>
        <v>1</v>
      </c>
      <c r="Q8" s="429">
        <f t="shared" si="24"/>
        <v>0</v>
      </c>
      <c r="S8" s="425">
        <v>1</v>
      </c>
      <c r="U8" s="425">
        <f>(ly_tx-ly_notx)*p_txeff_ss2_s+ly_notx</f>
        <v>0</v>
      </c>
      <c r="V8" s="425">
        <f>(qaly_tx-qaly_notx)*p_txeff_ss2_s+qaly_notx</f>
        <v>0</v>
      </c>
      <c r="W8" s="425">
        <f>(daly_tx-daly_notx)*p_txeff_ss2_s+daly_notx</f>
        <v>0</v>
      </c>
      <c r="X8" s="425">
        <f>(death_tx-death_notx)*p_txeff_ss2_s+death_notx</f>
        <v>7.1999999999999998E-3</v>
      </c>
      <c r="Y8" s="425">
        <f>(custom1_tx-custom1_notx)*p_txeff_ss2_s+custom1_notx</f>
        <v>0.1835</v>
      </c>
      <c r="Z8" s="425">
        <f>(custom2_tx-custom2_notx)*p_txeff_ss2_s+custom2_notx</f>
        <v>7.3399999999999993E-2</v>
      </c>
      <c r="AA8" s="425">
        <f>(custom3_tx-custom3_notx)*p_txeff_ss2_s+custom3_notx</f>
        <v>0</v>
      </c>
      <c r="AB8" s="425">
        <f>(custom4_tx-custom4_notx)*p_txeff_ss2_s+custom4_notx</f>
        <v>0</v>
      </c>
      <c r="AD8" s="425">
        <f t="shared" si="4"/>
        <v>0</v>
      </c>
      <c r="AE8" s="425">
        <f t="shared" si="5"/>
        <v>0</v>
      </c>
      <c r="AF8" s="425">
        <f t="shared" si="6"/>
        <v>0</v>
      </c>
      <c r="AG8" s="425">
        <f t="shared" si="7"/>
        <v>0</v>
      </c>
      <c r="AH8" s="425">
        <f t="shared" si="8"/>
        <v>0</v>
      </c>
      <c r="AI8" s="425">
        <f t="shared" si="9"/>
        <v>0</v>
      </c>
      <c r="AJ8" s="425">
        <f t="shared" si="10"/>
        <v>0</v>
      </c>
      <c r="AK8" s="425">
        <f t="shared" si="11"/>
        <v>0</v>
      </c>
      <c r="AM8" s="426">
        <f t="shared" si="12"/>
        <v>0</v>
      </c>
      <c r="AN8" s="425">
        <f>E8*AD8</f>
        <v>0</v>
      </c>
      <c r="AO8" s="425">
        <f t="shared" si="14"/>
        <v>0</v>
      </c>
      <c r="AP8" s="425">
        <f t="shared" si="15"/>
        <v>0</v>
      </c>
      <c r="AQ8" s="425">
        <f t="shared" si="16"/>
        <v>0</v>
      </c>
      <c r="AR8" s="425">
        <f t="shared" si="17"/>
        <v>0</v>
      </c>
      <c r="AS8" s="425">
        <f t="shared" si="18"/>
        <v>0</v>
      </c>
      <c r="AT8" s="425">
        <f t="shared" si="19"/>
        <v>0</v>
      </c>
      <c r="AU8" s="425">
        <f t="shared" si="20"/>
        <v>0</v>
      </c>
      <c r="AW8" s="423">
        <f>p_ss2_ad</f>
        <v>0</v>
      </c>
      <c r="AY8" s="419">
        <f t="shared" si="21"/>
        <v>0</v>
      </c>
      <c r="AZ8" s="419">
        <f t="shared" si="22"/>
        <v>258.93</v>
      </c>
      <c r="BA8" s="419">
        <f>_xlfn.SINGLE(IF(AND(Q8="Public location", U9="Hospital"),c_custom2_pubhosp, c_custom2_pubhc))</f>
        <v>849</v>
      </c>
      <c r="BB8" s="419">
        <f t="shared" si="25"/>
        <v>0</v>
      </c>
      <c r="BC8" s="419">
        <f>_xlfn.SINGLE(IF(AND(U9="Public location", W9="Hospital"),c_custom4_pubhosp, c_custom4_pubhc))</f>
        <v>0</v>
      </c>
      <c r="BE8" s="419">
        <f>wage_rate*((sickdays_1_tx-sickdays_1_notx)*p_txeff_ss2_s+sickdays_1_notx)</f>
        <v>37.119999999999997</v>
      </c>
      <c r="BF8" s="419">
        <f>wage_rate*((sickdays_2_tx-sickdays_2_notx)*p_txeff_ss2_s+sickdays_2_notx)</f>
        <v>53.359999999999992</v>
      </c>
      <c r="BG8" s="419">
        <f>wage_rate*((sickdays_3_tx-sickdays_3_notx)*p_txeff_ss2_s+sickdays_3_notx)</f>
        <v>0</v>
      </c>
      <c r="BH8" s="443">
        <f>wage_rate*((sickdays_4_tx-sickdays_4_notx)*p_txeff_ss2_s+sickdays_4_notx)</f>
        <v>0</v>
      </c>
    </row>
    <row r="9" spans="1:651" ht="15.5">
      <c r="B9" s="544"/>
      <c r="C9" s="8"/>
      <c r="D9" s="429" t="str">
        <f>_xlfn.CONCAT(F9,"_",G9,"_",I9,"_",K9,"_",M9)</f>
        <v>Real world scenario_Seek care_Public location_Hospital_Substandard Quality 3</v>
      </c>
      <c r="E9" s="429">
        <f t="shared" si="1"/>
        <v>1000000</v>
      </c>
      <c r="F9" s="429" t="s">
        <v>393</v>
      </c>
      <c r="G9" s="429" t="s">
        <v>371</v>
      </c>
      <c r="H9" s="430">
        <f t="shared" si="2"/>
        <v>0.35</v>
      </c>
      <c r="I9" s="429" t="s">
        <v>394</v>
      </c>
      <c r="J9" s="430">
        <f t="shared" si="3"/>
        <v>0.5</v>
      </c>
      <c r="K9" s="429" t="s">
        <v>395</v>
      </c>
      <c r="L9" s="430">
        <f t="shared" si="23"/>
        <v>0.5</v>
      </c>
      <c r="M9" s="429" t="s">
        <v>400</v>
      </c>
      <c r="N9" s="430">
        <f>p_p1_pubh_f</f>
        <v>6.2E-2</v>
      </c>
      <c r="O9" s="429" t="s">
        <v>57</v>
      </c>
      <c r="P9" s="430">
        <f>p_updose_pubhos</f>
        <v>0</v>
      </c>
      <c r="Q9" s="429">
        <f>H9*J9*L9*N9*P9</f>
        <v>0</v>
      </c>
      <c r="S9" s="425">
        <f>total_doses_up_f</f>
        <v>0</v>
      </c>
      <c r="U9" s="425">
        <f>ly_tx</f>
        <v>0</v>
      </c>
      <c r="V9" s="425">
        <f>qaly_tx</f>
        <v>0</v>
      </c>
      <c r="W9" s="425">
        <f>daly_tx</f>
        <v>0</v>
      </c>
      <c r="X9" s="425">
        <f>death_tx</f>
        <v>3.0000000000000001E-3</v>
      </c>
      <c r="Y9" s="425">
        <f>custom1_tx</f>
        <v>7.4999999999999997E-2</v>
      </c>
      <c r="Z9" s="425">
        <f>custom2_tx</f>
        <v>0.03</v>
      </c>
      <c r="AA9" s="425">
        <f>custom3_tx</f>
        <v>0</v>
      </c>
      <c r="AB9" s="425">
        <f>custom4_tx</f>
        <v>0</v>
      </c>
      <c r="AD9" s="425">
        <f t="shared" si="4"/>
        <v>0</v>
      </c>
      <c r="AE9" s="425">
        <f t="shared" si="5"/>
        <v>0</v>
      </c>
      <c r="AF9" s="425">
        <f t="shared" si="6"/>
        <v>0</v>
      </c>
      <c r="AG9" s="425">
        <f t="shared" si="7"/>
        <v>0</v>
      </c>
      <c r="AH9" s="425">
        <f t="shared" si="8"/>
        <v>0</v>
      </c>
      <c r="AI9" s="425">
        <f t="shared" si="9"/>
        <v>0</v>
      </c>
      <c r="AJ9" s="425">
        <f t="shared" si="10"/>
        <v>0</v>
      </c>
      <c r="AK9" s="425">
        <f t="shared" si="11"/>
        <v>0</v>
      </c>
      <c r="AM9" s="426">
        <f t="shared" si="12"/>
        <v>0</v>
      </c>
      <c r="AN9" s="425">
        <f t="shared" si="13"/>
        <v>0</v>
      </c>
      <c r="AO9" s="425">
        <f t="shared" si="14"/>
        <v>0</v>
      </c>
      <c r="AP9" s="425">
        <f t="shared" si="15"/>
        <v>0</v>
      </c>
      <c r="AQ9" s="425">
        <f t="shared" si="16"/>
        <v>0</v>
      </c>
      <c r="AR9" s="425">
        <f t="shared" si="17"/>
        <v>0</v>
      </c>
      <c r="AS9" s="425">
        <f t="shared" si="18"/>
        <v>0</v>
      </c>
      <c r="AT9" s="425">
        <f t="shared" si="19"/>
        <v>0</v>
      </c>
      <c r="AU9" s="425">
        <f t="shared" si="20"/>
        <v>0</v>
      </c>
      <c r="AW9" s="423">
        <f>p_f_ad</f>
        <v>0</v>
      </c>
      <c r="AY9" s="419">
        <f t="shared" si="21"/>
        <v>0</v>
      </c>
      <c r="AZ9" s="419">
        <f t="shared" si="22"/>
        <v>258.93</v>
      </c>
      <c r="BA9" s="419">
        <f>_xlfn.SINGLE(IF(AND(Q9="Public location",U9= "Hospital"),c_custom2_pubhosp, c_custom2_pubhc))</f>
        <v>849</v>
      </c>
      <c r="BB9" s="419">
        <f t="shared" si="25"/>
        <v>0</v>
      </c>
      <c r="BC9" s="419">
        <f>_xlfn.SINGLE(IF(AND(U10="Public location", W10="Hospital"),c_custom4_pubhosp, c_custom4_pubhc))</f>
        <v>0</v>
      </c>
      <c r="BE9" s="419">
        <f>wage_rate*sickdays_1_tx</f>
        <v>37.119999999999997</v>
      </c>
      <c r="BF9" s="419">
        <f>wage_rate*sickdays_2_tx</f>
        <v>53.359999999999992</v>
      </c>
      <c r="BG9" s="419">
        <f>wage_rate*sickdays_3_tx</f>
        <v>0</v>
      </c>
      <c r="BH9" s="443">
        <f>wage_rate*sickdays_4_tx</f>
        <v>0</v>
      </c>
    </row>
    <row r="10" spans="1:651">
      <c r="B10" s="246"/>
      <c r="C10" s="8"/>
      <c r="D10" s="429" t="str">
        <f t="shared" ref="D10" si="28">_xlfn.CONCAT(F10,"_",G10,"_",I10,"_",K10,"_",M10)</f>
        <v>Real world scenario_Seek care_Public location_Hospital_Substandard Quality 3</v>
      </c>
      <c r="E10" s="429">
        <f t="shared" si="1"/>
        <v>1000000</v>
      </c>
      <c r="F10" s="429" t="s">
        <v>393</v>
      </c>
      <c r="G10" s="429" t="s">
        <v>371</v>
      </c>
      <c r="H10" s="430">
        <f t="shared" si="2"/>
        <v>0.35</v>
      </c>
      <c r="I10" s="429" t="s">
        <v>394</v>
      </c>
      <c r="J10" s="430">
        <f t="shared" si="3"/>
        <v>0.5</v>
      </c>
      <c r="K10" s="429" t="s">
        <v>395</v>
      </c>
      <c r="L10" s="430">
        <f t="shared" si="23"/>
        <v>0.5</v>
      </c>
      <c r="M10" s="429" t="s">
        <v>400</v>
      </c>
      <c r="N10" s="430">
        <f>p_p1_pubh_f</f>
        <v>6.2E-2</v>
      </c>
      <c r="O10" s="429" t="s">
        <v>398</v>
      </c>
      <c r="P10" s="430">
        <f>1-p_updose_pubhos</f>
        <v>1</v>
      </c>
      <c r="Q10" s="429">
        <f>H10*J10*L10*N10*P10</f>
        <v>5.4249999999999993E-3</v>
      </c>
      <c r="S10" s="425">
        <v>1</v>
      </c>
      <c r="U10" s="425">
        <f>ly_notx</f>
        <v>0</v>
      </c>
      <c r="V10" s="425">
        <f>qaly_notx</f>
        <v>0</v>
      </c>
      <c r="W10" s="425">
        <f>daly_notx</f>
        <v>0</v>
      </c>
      <c r="X10" s="425">
        <f>death_notx</f>
        <v>8.9999999999999993E-3</v>
      </c>
      <c r="Y10" s="425">
        <f>custom1_notx</f>
        <v>0.23</v>
      </c>
      <c r="Z10" s="425">
        <f>custom2_notx</f>
        <v>9.1999999999999998E-2</v>
      </c>
      <c r="AA10" s="425">
        <f>custom3_notx</f>
        <v>0</v>
      </c>
      <c r="AB10" s="425">
        <f>custom4_notx</f>
        <v>0</v>
      </c>
      <c r="AD10" s="425">
        <f>Q10*U10</f>
        <v>0</v>
      </c>
      <c r="AE10" s="425">
        <f t="shared" si="5"/>
        <v>0</v>
      </c>
      <c r="AF10" s="425">
        <f t="shared" si="6"/>
        <v>0</v>
      </c>
      <c r="AG10" s="425">
        <f t="shared" si="7"/>
        <v>4.8824999999999987E-5</v>
      </c>
      <c r="AH10" s="425">
        <f t="shared" si="8"/>
        <v>1.2477499999999999E-3</v>
      </c>
      <c r="AI10" s="425">
        <f t="shared" si="9"/>
        <v>4.9909999999999993E-4</v>
      </c>
      <c r="AJ10" s="425">
        <f t="shared" si="10"/>
        <v>0</v>
      </c>
      <c r="AK10" s="425">
        <f t="shared" si="11"/>
        <v>0</v>
      </c>
      <c r="AM10" s="426">
        <f t="shared" si="12"/>
        <v>5424.9999999999991</v>
      </c>
      <c r="AN10" s="425">
        <f>AD10*E10</f>
        <v>0</v>
      </c>
      <c r="AO10" s="425">
        <f t="shared" si="14"/>
        <v>0</v>
      </c>
      <c r="AP10" s="425">
        <f t="shared" si="15"/>
        <v>0</v>
      </c>
      <c r="AQ10" s="425">
        <f t="shared" si="16"/>
        <v>48.824999999999989</v>
      </c>
      <c r="AR10" s="425">
        <f t="shared" si="17"/>
        <v>1247.75</v>
      </c>
      <c r="AS10" s="425">
        <f t="shared" si="18"/>
        <v>499.09999999999991</v>
      </c>
      <c r="AT10" s="425">
        <f t="shared" si="19"/>
        <v>0</v>
      </c>
      <c r="AU10" s="425">
        <f t="shared" si="20"/>
        <v>0</v>
      </c>
      <c r="AW10" s="423">
        <f>p_f_ad</f>
        <v>0</v>
      </c>
      <c r="AY10" s="419">
        <f t="shared" si="21"/>
        <v>0</v>
      </c>
      <c r="AZ10" s="419">
        <f t="shared" si="22"/>
        <v>258.93</v>
      </c>
      <c r="BA10" s="419">
        <f>_xlfn.SINGLE(IF(AND(Q10="Public location",U10= "Hospital"),c_custom2_pubhosp, c_custom2_pubhc))</f>
        <v>849</v>
      </c>
      <c r="BB10" s="419">
        <f t="shared" si="25"/>
        <v>0</v>
      </c>
      <c r="BC10" s="419">
        <f>_xlfn.SINGLE(IF(AND(U11="Public location", W11="Hospital"),c_custom4_pubhosp, c_custom4_pubhc))</f>
        <v>0</v>
      </c>
      <c r="BE10" s="419">
        <f>wage_rate*sickdays_1_notx</f>
        <v>37.119999999999997</v>
      </c>
      <c r="BF10" s="419">
        <f>wage_rate*sickdays_2_notx</f>
        <v>53.359999999999992</v>
      </c>
      <c r="BG10" s="419">
        <f>wage_rate*sickdays_3_notx</f>
        <v>0</v>
      </c>
      <c r="BH10" s="443">
        <f>wage_rate*sickdays_4_notx</f>
        <v>0</v>
      </c>
    </row>
    <row r="11" spans="1:651" ht="15.5">
      <c r="A11" s="5"/>
      <c r="B11" s="576" t="s">
        <v>8</v>
      </c>
      <c r="C11" s="15"/>
      <c r="D11" s="429" t="str">
        <f t="shared" ref="D11:D37" si="29">_xlfn.CONCAT(F11,"_",G11,"_",I11,"_",K11,"_",M11)</f>
        <v>Real world scenario_Seek care_Public location_Health Center_Standard Quality</v>
      </c>
      <c r="E11" s="429">
        <f t="shared" si="1"/>
        <v>1000000</v>
      </c>
      <c r="F11" s="429" t="s">
        <v>393</v>
      </c>
      <c r="G11" s="429" t="s">
        <v>371</v>
      </c>
      <c r="H11" s="430">
        <f t="shared" si="2"/>
        <v>0.35</v>
      </c>
      <c r="I11" s="429" t="s">
        <v>394</v>
      </c>
      <c r="J11" s="430">
        <f t="shared" si="3"/>
        <v>0.5</v>
      </c>
      <c r="K11" s="429" t="s">
        <v>401</v>
      </c>
      <c r="L11" s="430">
        <f t="shared" ref="L11:L17" si="30">p_pub_hc</f>
        <v>0.5</v>
      </c>
      <c r="M11" s="429" t="s">
        <v>23</v>
      </c>
      <c r="N11" s="430">
        <f>1-(p_p1_pubhc_ss1+p_p1_pubhc_ss2+p_p1_pubhc_f)</f>
        <v>0.83799999999999997</v>
      </c>
      <c r="O11" s="431" t="s">
        <v>396</v>
      </c>
      <c r="P11" s="430"/>
      <c r="Q11" s="429">
        <f>H11*J11*L11*N11</f>
        <v>7.3324999999999987E-2</v>
      </c>
      <c r="S11" s="425">
        <f>1</f>
        <v>1</v>
      </c>
      <c r="U11" s="425">
        <f>ly_tx</f>
        <v>0</v>
      </c>
      <c r="V11" s="425">
        <f>qaly_tx</f>
        <v>0</v>
      </c>
      <c r="W11" s="425">
        <f>daly_tx</f>
        <v>0</v>
      </c>
      <c r="X11" s="425">
        <f>death_tx</f>
        <v>3.0000000000000001E-3</v>
      </c>
      <c r="Y11" s="425">
        <f>custom1_tx</f>
        <v>7.4999999999999997E-2</v>
      </c>
      <c r="Z11" s="425">
        <f>custom2_tx</f>
        <v>0.03</v>
      </c>
      <c r="AA11" s="425">
        <f>custom3_tx</f>
        <v>0</v>
      </c>
      <c r="AB11" s="425">
        <f>custom4_tx</f>
        <v>0</v>
      </c>
      <c r="AD11" s="425">
        <f>Q11*U11</f>
        <v>0</v>
      </c>
      <c r="AE11" s="425">
        <f t="shared" si="5"/>
        <v>0</v>
      </c>
      <c r="AF11" s="425">
        <f t="shared" si="6"/>
        <v>0</v>
      </c>
      <c r="AG11" s="425">
        <f t="shared" si="7"/>
        <v>2.1997499999999997E-4</v>
      </c>
      <c r="AH11" s="425">
        <f t="shared" si="8"/>
        <v>5.4993749999999991E-3</v>
      </c>
      <c r="AI11" s="425">
        <f t="shared" si="9"/>
        <v>2.1997499999999994E-3</v>
      </c>
      <c r="AJ11" s="425">
        <f t="shared" si="10"/>
        <v>0</v>
      </c>
      <c r="AK11" s="425">
        <f t="shared" si="11"/>
        <v>0</v>
      </c>
      <c r="AM11" s="426">
        <f t="shared" si="12"/>
        <v>73324.999999999985</v>
      </c>
      <c r="AN11" s="425">
        <f t="shared" si="13"/>
        <v>0</v>
      </c>
      <c r="AO11" s="425">
        <f t="shared" si="14"/>
        <v>0</v>
      </c>
      <c r="AP11" s="425">
        <f t="shared" si="15"/>
        <v>0</v>
      </c>
      <c r="AQ11" s="425">
        <f t="shared" si="16"/>
        <v>219.97499999999997</v>
      </c>
      <c r="AR11" s="425">
        <f t="shared" si="17"/>
        <v>5499.3749999999991</v>
      </c>
      <c r="AS11" s="425">
        <f t="shared" si="18"/>
        <v>2199.7499999999995</v>
      </c>
      <c r="AT11" s="425">
        <f t="shared" si="19"/>
        <v>0</v>
      </c>
      <c r="AU11" s="425">
        <f t="shared" si="20"/>
        <v>0</v>
      </c>
      <c r="AW11" s="423">
        <v>0</v>
      </c>
      <c r="AY11" s="419">
        <f t="shared" ref="AY11:AY17" si="31">_xlfn.SINGLE(IF(AND(I11="Public location", K11="Hospital"),c_drug_pub_hos, c_drug_pub_hc))*S11</f>
        <v>0</v>
      </c>
      <c r="AZ11" s="419">
        <f t="shared" si="22"/>
        <v>258.93</v>
      </c>
      <c r="BA11" s="419">
        <f t="shared" ref="BA11:BA17" si="32">_xlfn.SINGLE(IF(AND(Q11="Public location", U11="Hospital"),c_custom2_pubhosp, c_custom2_pubhc))</f>
        <v>849</v>
      </c>
      <c r="BB11" s="419">
        <f t="shared" ref="BB11:BB17" si="33">_xlfn.SINGLE(IF(AND(T11="Public location", V11="Hospital"),c_custom3_pubhosp, c_custom3_pubhc))</f>
        <v>0</v>
      </c>
      <c r="BC11" s="419">
        <f t="shared" ref="BC11:BC17" si="34">_xlfn.SINGLE(IF(AND(U11="Public location", W11="Hospital"),c_custom4_pubhosp, c_custom4_pubhc))</f>
        <v>0</v>
      </c>
      <c r="BE11" s="419">
        <f>wage_rate*sickdays_1_tx</f>
        <v>37.119999999999997</v>
      </c>
      <c r="BF11" s="419">
        <f>wage_rate*sickdays_2_tx</f>
        <v>53.359999999999992</v>
      </c>
      <c r="BG11" s="419">
        <f>wage_rate*sickdays_3_tx</f>
        <v>0</v>
      </c>
      <c r="BH11" s="443">
        <f>wage_rate*sickdays_4_tx</f>
        <v>0</v>
      </c>
    </row>
    <row r="12" spans="1:651" ht="15.5">
      <c r="A12" s="5"/>
      <c r="B12" s="576"/>
      <c r="C12" s="15"/>
      <c r="D12" s="429" t="str">
        <f t="shared" si="29"/>
        <v>Real world scenario_Seek care_Public location_Health Center_Substandard Quality1</v>
      </c>
      <c r="E12" s="429">
        <f t="shared" si="1"/>
        <v>1000000</v>
      </c>
      <c r="F12" s="429" t="s">
        <v>393</v>
      </c>
      <c r="G12" s="429" t="s">
        <v>371</v>
      </c>
      <c r="H12" s="430">
        <f t="shared" si="2"/>
        <v>0.35</v>
      </c>
      <c r="I12" s="429" t="s">
        <v>394</v>
      </c>
      <c r="J12" s="430">
        <f t="shared" si="3"/>
        <v>0.5</v>
      </c>
      <c r="K12" s="429" t="s">
        <v>401</v>
      </c>
      <c r="L12" s="430">
        <f t="shared" si="30"/>
        <v>0.5</v>
      </c>
      <c r="M12" s="429" t="s">
        <v>397</v>
      </c>
      <c r="N12" s="430">
        <f>p_p1_pubhc_ss1</f>
        <v>0.1</v>
      </c>
      <c r="O12" s="429" t="s">
        <v>57</v>
      </c>
      <c r="P12" s="430">
        <f>p_updose_pubhc</f>
        <v>0</v>
      </c>
      <c r="Q12" s="429">
        <f t="shared" si="24"/>
        <v>0</v>
      </c>
      <c r="S12" s="425">
        <f>total_doses_up_ss1</f>
        <v>0</v>
      </c>
      <c r="U12" s="425">
        <f>ly_tx</f>
        <v>0</v>
      </c>
      <c r="V12" s="425">
        <f>qaly_tx</f>
        <v>0</v>
      </c>
      <c r="W12" s="425">
        <f>daly_tx</f>
        <v>0</v>
      </c>
      <c r="X12" s="425">
        <f>death_tx</f>
        <v>3.0000000000000001E-3</v>
      </c>
      <c r="Y12" s="425">
        <f>custom1_tx</f>
        <v>7.4999999999999997E-2</v>
      </c>
      <c r="Z12" s="425">
        <f>custom2_tx</f>
        <v>0.03</v>
      </c>
      <c r="AA12" s="425">
        <f>custom3_tx</f>
        <v>0</v>
      </c>
      <c r="AB12" s="425">
        <f>custom4_tx</f>
        <v>0</v>
      </c>
      <c r="AD12" s="425">
        <f t="shared" si="4"/>
        <v>0</v>
      </c>
      <c r="AE12" s="425">
        <f t="shared" si="5"/>
        <v>0</v>
      </c>
      <c r="AF12" s="425">
        <f t="shared" si="6"/>
        <v>0</v>
      </c>
      <c r="AG12" s="425">
        <f t="shared" si="7"/>
        <v>0</v>
      </c>
      <c r="AH12" s="425">
        <f t="shared" si="8"/>
        <v>0</v>
      </c>
      <c r="AI12" s="425">
        <f t="shared" si="9"/>
        <v>0</v>
      </c>
      <c r="AJ12" s="425">
        <f t="shared" si="10"/>
        <v>0</v>
      </c>
      <c r="AK12" s="425">
        <f t="shared" si="11"/>
        <v>0</v>
      </c>
      <c r="AM12" s="426">
        <f t="shared" si="12"/>
        <v>0</v>
      </c>
      <c r="AN12" s="425">
        <f t="shared" si="13"/>
        <v>0</v>
      </c>
      <c r="AO12" s="425">
        <f t="shared" si="14"/>
        <v>0</v>
      </c>
      <c r="AP12" s="425">
        <f t="shared" si="15"/>
        <v>0</v>
      </c>
      <c r="AQ12" s="425">
        <f t="shared" si="16"/>
        <v>0</v>
      </c>
      <c r="AR12" s="425">
        <f t="shared" si="17"/>
        <v>0</v>
      </c>
      <c r="AS12" s="425">
        <f t="shared" si="18"/>
        <v>0</v>
      </c>
      <c r="AT12" s="425">
        <f t="shared" si="19"/>
        <v>0</v>
      </c>
      <c r="AU12" s="425">
        <f t="shared" si="20"/>
        <v>0</v>
      </c>
      <c r="AW12" s="423">
        <f>p_ss1_ad</f>
        <v>0</v>
      </c>
      <c r="AY12" s="419">
        <f t="shared" si="31"/>
        <v>0</v>
      </c>
      <c r="AZ12" s="419">
        <f t="shared" si="22"/>
        <v>258.93</v>
      </c>
      <c r="BA12" s="419">
        <f t="shared" si="32"/>
        <v>849</v>
      </c>
      <c r="BB12" s="419">
        <f t="shared" si="33"/>
        <v>0</v>
      </c>
      <c r="BC12" s="419">
        <f t="shared" si="34"/>
        <v>0</v>
      </c>
      <c r="BE12" s="419">
        <f>wage_rate*sickdays_1_tx</f>
        <v>37.119999999999997</v>
      </c>
      <c r="BF12" s="419">
        <f>wage_rate*sickdays_2_tx</f>
        <v>53.359999999999992</v>
      </c>
      <c r="BG12" s="419">
        <f>wage_rate*sickdays_3_tx</f>
        <v>0</v>
      </c>
      <c r="BH12" s="443">
        <f>wage_rate*sickdays_4_tx</f>
        <v>0</v>
      </c>
    </row>
    <row r="13" spans="1:651">
      <c r="B13" s="246"/>
      <c r="C13" s="8"/>
      <c r="D13" s="429" t="str">
        <f t="shared" ref="D13" si="35">_xlfn.CONCAT(F13,"_",G13,"_",I13,"_",K13,"_",M13)</f>
        <v>Real world scenario_Seek care_Public location_Health Center_Substandard Quality1</v>
      </c>
      <c r="E13" s="429">
        <f t="shared" si="1"/>
        <v>1000000</v>
      </c>
      <c r="F13" s="429" t="s">
        <v>393</v>
      </c>
      <c r="G13" s="429" t="s">
        <v>371</v>
      </c>
      <c r="H13" s="430">
        <f t="shared" si="2"/>
        <v>0.35</v>
      </c>
      <c r="I13" s="429" t="s">
        <v>394</v>
      </c>
      <c r="J13" s="430">
        <f t="shared" si="3"/>
        <v>0.5</v>
      </c>
      <c r="K13" s="429" t="s">
        <v>401</v>
      </c>
      <c r="L13" s="430">
        <f t="shared" si="30"/>
        <v>0.5</v>
      </c>
      <c r="M13" s="429" t="s">
        <v>397</v>
      </c>
      <c r="N13" s="430">
        <f>p_p1_pubhc_ss1</f>
        <v>0.1</v>
      </c>
      <c r="O13" s="429" t="s">
        <v>398</v>
      </c>
      <c r="P13" s="430">
        <f>1-p_updose_pubhc</f>
        <v>1</v>
      </c>
      <c r="Q13" s="429">
        <f t="shared" si="24"/>
        <v>8.7499999999999991E-3</v>
      </c>
      <c r="S13" s="425">
        <v>1</v>
      </c>
      <c r="U13" s="425">
        <f>(ly_tx-ly_notx)*p_txeff_ss1_s+ly_notx</f>
        <v>0</v>
      </c>
      <c r="V13" s="425">
        <f>(qaly_tx-qaly_notx)*p_txeff_ss1_s+qaly_notx</f>
        <v>0</v>
      </c>
      <c r="W13" s="425">
        <f>(daly_tx-daly_notx)*p_txeff_ss1_s+daly_notx</f>
        <v>0</v>
      </c>
      <c r="X13" s="425">
        <f>(death_tx-death_notx)*p_txeff_ss1_s+death_notx</f>
        <v>5.4000000000000003E-3</v>
      </c>
      <c r="Y13" s="425">
        <f>(custom1_tx-custom1_notx)*p_txeff_ss1_s+custom1_notx</f>
        <v>0.13700000000000001</v>
      </c>
      <c r="Z13" s="425">
        <f>(custom2_tx-custom2_notx)*p_txeff_ss1_s+custom2_notx</f>
        <v>5.4800000000000001E-2</v>
      </c>
      <c r="AA13" s="425">
        <f>(custom3_tx-custom3_notx)*p_txeff_ss1_s+custom3_notx</f>
        <v>0</v>
      </c>
      <c r="AB13" s="425">
        <f>(custom4_tx-custom4_notx)*p_txeff_ss1_s+custom4_notx</f>
        <v>0</v>
      </c>
      <c r="AD13" s="425">
        <f t="shared" si="4"/>
        <v>0</v>
      </c>
      <c r="AE13" s="425">
        <f t="shared" si="5"/>
        <v>0</v>
      </c>
      <c r="AF13" s="425">
        <f t="shared" si="6"/>
        <v>0</v>
      </c>
      <c r="AG13" s="425">
        <f t="shared" si="7"/>
        <v>4.7249999999999997E-5</v>
      </c>
      <c r="AH13" s="425">
        <f t="shared" si="8"/>
        <v>1.1987499999999999E-3</v>
      </c>
      <c r="AI13" s="425">
        <f t="shared" si="9"/>
        <v>4.7949999999999995E-4</v>
      </c>
      <c r="AJ13" s="425">
        <f t="shared" si="10"/>
        <v>0</v>
      </c>
      <c r="AK13" s="425">
        <f t="shared" si="11"/>
        <v>0</v>
      </c>
      <c r="AM13" s="426">
        <f t="shared" si="12"/>
        <v>8750</v>
      </c>
      <c r="AN13" s="425">
        <f t="shared" si="13"/>
        <v>0</v>
      </c>
      <c r="AO13" s="425">
        <f t="shared" si="14"/>
        <v>0</v>
      </c>
      <c r="AP13" s="425">
        <f t="shared" si="15"/>
        <v>0</v>
      </c>
      <c r="AQ13" s="425">
        <f t="shared" si="16"/>
        <v>47.25</v>
      </c>
      <c r="AR13" s="425">
        <f t="shared" si="17"/>
        <v>1198.75</v>
      </c>
      <c r="AS13" s="425">
        <f t="shared" si="18"/>
        <v>479.49999999999994</v>
      </c>
      <c r="AT13" s="425">
        <f t="shared" si="19"/>
        <v>0</v>
      </c>
      <c r="AU13" s="425">
        <f t="shared" si="20"/>
        <v>0</v>
      </c>
      <c r="AW13" s="423">
        <f>p_ss1_ad</f>
        <v>0</v>
      </c>
      <c r="AY13" s="419">
        <f t="shared" si="31"/>
        <v>0</v>
      </c>
      <c r="AZ13" s="419">
        <f t="shared" si="22"/>
        <v>258.93</v>
      </c>
      <c r="BA13" s="419">
        <f t="shared" si="32"/>
        <v>849</v>
      </c>
      <c r="BB13" s="419">
        <f t="shared" si="33"/>
        <v>0</v>
      </c>
      <c r="BC13" s="419">
        <f t="shared" si="34"/>
        <v>0</v>
      </c>
      <c r="BE13" s="419">
        <f>wage_rate*((sickdays_1_tx-sickdays_1_notx)*p_txeff_ss1_s+sickdays_1_notx)</f>
        <v>37.119999999999997</v>
      </c>
      <c r="BF13" s="419">
        <f>wage_rate*((sickdays_2_tx-sickdays_2_notx)*p_txeff_ss1_s+sickdays_2_notx)</f>
        <v>53.359999999999992</v>
      </c>
      <c r="BG13" s="419">
        <f>wage_rate*((sickdays_3_tx-sickdays_3_notx)*p_txeff_ss1_s+sickdays_3_notx)</f>
        <v>0</v>
      </c>
      <c r="BH13" s="443">
        <f>wage_rate*((sickdays_4_tx-sickdays_4_notx)*p_txeff_ss1_s+sickdays_4_notx)</f>
        <v>0</v>
      </c>
    </row>
    <row r="14" spans="1:651" ht="15.5">
      <c r="B14" s="582" t="s">
        <v>12</v>
      </c>
      <c r="C14" s="8"/>
      <c r="D14" s="429" t="str">
        <f t="shared" si="29"/>
        <v>Real world scenario_Seek care_Public location_Health Center_Substandard Quality2</v>
      </c>
      <c r="E14" s="429">
        <f t="shared" si="1"/>
        <v>1000000</v>
      </c>
      <c r="F14" s="429" t="s">
        <v>393</v>
      </c>
      <c r="G14" s="429" t="s">
        <v>371</v>
      </c>
      <c r="H14" s="430">
        <f t="shared" si="2"/>
        <v>0.35</v>
      </c>
      <c r="I14" s="429" t="s">
        <v>394</v>
      </c>
      <c r="J14" s="430">
        <f t="shared" si="3"/>
        <v>0.5</v>
      </c>
      <c r="K14" s="429" t="s">
        <v>401</v>
      </c>
      <c r="L14" s="430">
        <f t="shared" si="30"/>
        <v>0.5</v>
      </c>
      <c r="M14" s="429" t="s">
        <v>399</v>
      </c>
      <c r="N14" s="430">
        <f>p_p1_pubhc_ss2</f>
        <v>0</v>
      </c>
      <c r="O14" s="429" t="s">
        <v>57</v>
      </c>
      <c r="P14" s="430">
        <f>p_updose_pubhc</f>
        <v>0</v>
      </c>
      <c r="Q14" s="429">
        <f t="shared" si="24"/>
        <v>0</v>
      </c>
      <c r="S14" s="425">
        <f>total_doses_up_ss2</f>
        <v>0</v>
      </c>
      <c r="U14" s="425">
        <f>ly_tx</f>
        <v>0</v>
      </c>
      <c r="V14" s="425">
        <f>qaly_tx</f>
        <v>0</v>
      </c>
      <c r="W14" s="425">
        <f>daly_tx</f>
        <v>0</v>
      </c>
      <c r="X14" s="425">
        <f>death_tx</f>
        <v>3.0000000000000001E-3</v>
      </c>
      <c r="Y14" s="425">
        <f>custom1_tx</f>
        <v>7.4999999999999997E-2</v>
      </c>
      <c r="Z14" s="425">
        <f>custom2_tx</f>
        <v>0.03</v>
      </c>
      <c r="AA14" s="425">
        <f>custom3_tx</f>
        <v>0</v>
      </c>
      <c r="AB14" s="425">
        <f>custom4_tx</f>
        <v>0</v>
      </c>
      <c r="AD14" s="425">
        <f t="shared" si="4"/>
        <v>0</v>
      </c>
      <c r="AE14" s="425">
        <f t="shared" si="5"/>
        <v>0</v>
      </c>
      <c r="AF14" s="425">
        <f t="shared" si="6"/>
        <v>0</v>
      </c>
      <c r="AG14" s="425">
        <f t="shared" si="7"/>
        <v>0</v>
      </c>
      <c r="AH14" s="425">
        <f t="shared" si="8"/>
        <v>0</v>
      </c>
      <c r="AI14" s="425">
        <f t="shared" si="9"/>
        <v>0</v>
      </c>
      <c r="AJ14" s="425">
        <f t="shared" si="10"/>
        <v>0</v>
      </c>
      <c r="AK14" s="425">
        <f t="shared" si="11"/>
        <v>0</v>
      </c>
      <c r="AM14" s="426">
        <f t="shared" si="12"/>
        <v>0</v>
      </c>
      <c r="AN14" s="425">
        <f>E14*AD14</f>
        <v>0</v>
      </c>
      <c r="AO14" s="425">
        <f t="shared" si="14"/>
        <v>0</v>
      </c>
      <c r="AP14" s="425">
        <f t="shared" si="15"/>
        <v>0</v>
      </c>
      <c r="AQ14" s="425">
        <f t="shared" si="16"/>
        <v>0</v>
      </c>
      <c r="AR14" s="425">
        <f t="shared" si="17"/>
        <v>0</v>
      </c>
      <c r="AS14" s="425">
        <f t="shared" si="18"/>
        <v>0</v>
      </c>
      <c r="AT14" s="425">
        <f t="shared" si="19"/>
        <v>0</v>
      </c>
      <c r="AU14" s="425">
        <f t="shared" si="20"/>
        <v>0</v>
      </c>
      <c r="AW14" s="423">
        <f>p_ss2_ad</f>
        <v>0</v>
      </c>
      <c r="AY14" s="419">
        <f t="shared" si="31"/>
        <v>0</v>
      </c>
      <c r="AZ14" s="419">
        <f t="shared" si="22"/>
        <v>258.93</v>
      </c>
      <c r="BA14" s="419">
        <f t="shared" si="32"/>
        <v>849</v>
      </c>
      <c r="BB14" s="419">
        <f t="shared" si="33"/>
        <v>0</v>
      </c>
      <c r="BC14" s="419">
        <f t="shared" si="34"/>
        <v>0</v>
      </c>
      <c r="BE14" s="419">
        <f>wage_rate*sickdays_1_tx</f>
        <v>37.119999999999997</v>
      </c>
      <c r="BF14" s="419">
        <f>wage_rate*sickdays_2_tx</f>
        <v>53.359999999999992</v>
      </c>
      <c r="BG14" s="419">
        <f>wage_rate*sickdays_3_tx</f>
        <v>0</v>
      </c>
      <c r="BH14" s="443">
        <f>wage_rate*sickdays_4_tx</f>
        <v>0</v>
      </c>
    </row>
    <row r="15" spans="1:651" ht="15.5">
      <c r="B15" s="582"/>
      <c r="C15" s="8"/>
      <c r="D15" s="429" t="str">
        <f t="shared" ref="D15" si="36">_xlfn.CONCAT(F15,"_",G15,"_",I15,"_",K15,"_",M15)</f>
        <v>Real world scenario_Seek care_Public location_Health Center_Substandard Quality2</v>
      </c>
      <c r="E15" s="429">
        <f t="shared" si="1"/>
        <v>1000000</v>
      </c>
      <c r="F15" s="429" t="s">
        <v>393</v>
      </c>
      <c r="G15" s="429" t="s">
        <v>371</v>
      </c>
      <c r="H15" s="430">
        <f t="shared" si="2"/>
        <v>0.35</v>
      </c>
      <c r="I15" s="429" t="s">
        <v>394</v>
      </c>
      <c r="J15" s="430">
        <f t="shared" si="3"/>
        <v>0.5</v>
      </c>
      <c r="K15" s="429" t="s">
        <v>401</v>
      </c>
      <c r="L15" s="430">
        <f t="shared" si="30"/>
        <v>0.5</v>
      </c>
      <c r="M15" s="429" t="s">
        <v>399</v>
      </c>
      <c r="N15" s="430">
        <f>p_p1_pubhc_ss2</f>
        <v>0</v>
      </c>
      <c r="O15" s="429" t="s">
        <v>398</v>
      </c>
      <c r="P15" s="430">
        <f>1-p_updose_pubhc</f>
        <v>1</v>
      </c>
      <c r="Q15" s="429">
        <f t="shared" si="24"/>
        <v>0</v>
      </c>
      <c r="S15" s="425">
        <v>1</v>
      </c>
      <c r="U15" s="425">
        <f>(ly_tx-ly_notx)*p_txeff_ss2_s+ly_notx</f>
        <v>0</v>
      </c>
      <c r="V15" s="425">
        <f>(qaly_tx-qaly_notx)*p_txeff_ss2_s+qaly_notx</f>
        <v>0</v>
      </c>
      <c r="W15" s="425">
        <f>(daly_tx-daly_notx)*p_txeff_ss2_s+daly_notx</f>
        <v>0</v>
      </c>
      <c r="X15" s="425">
        <f>(death_tx-death_notx)*p_txeff_ss2_s+death_notx</f>
        <v>7.1999999999999998E-3</v>
      </c>
      <c r="Y15" s="425">
        <f>(custom1_tx-custom1_notx)*p_txeff_ss2_s+custom1_notx</f>
        <v>0.1835</v>
      </c>
      <c r="Z15" s="425">
        <f>(custom2_tx-custom2_notx)*p_txeff_ss2_s+custom2_notx</f>
        <v>7.3399999999999993E-2</v>
      </c>
      <c r="AA15" s="425">
        <f>(custom3_tx-custom3_notx)*p_txeff_ss2_s+custom3_notx</f>
        <v>0</v>
      </c>
      <c r="AB15" s="425">
        <f>(custom4_tx-custom4_notx)*p_txeff_ss2_s+custom4_notx</f>
        <v>0</v>
      </c>
      <c r="AD15" s="425">
        <f t="shared" si="4"/>
        <v>0</v>
      </c>
      <c r="AE15" s="425">
        <f t="shared" si="5"/>
        <v>0</v>
      </c>
      <c r="AF15" s="425">
        <f t="shared" si="6"/>
        <v>0</v>
      </c>
      <c r="AG15" s="425">
        <f t="shared" si="7"/>
        <v>0</v>
      </c>
      <c r="AH15" s="425">
        <f t="shared" si="8"/>
        <v>0</v>
      </c>
      <c r="AI15" s="425">
        <f t="shared" si="9"/>
        <v>0</v>
      </c>
      <c r="AJ15" s="425">
        <f t="shared" si="10"/>
        <v>0</v>
      </c>
      <c r="AK15" s="425">
        <f t="shared" si="11"/>
        <v>0</v>
      </c>
      <c r="AM15" s="426">
        <f t="shared" si="12"/>
        <v>0</v>
      </c>
      <c r="AN15" s="425">
        <f t="shared" si="13"/>
        <v>0</v>
      </c>
      <c r="AO15" s="425">
        <f t="shared" si="14"/>
        <v>0</v>
      </c>
      <c r="AP15" s="425">
        <f t="shared" si="15"/>
        <v>0</v>
      </c>
      <c r="AQ15" s="425">
        <f t="shared" si="16"/>
        <v>0</v>
      </c>
      <c r="AR15" s="425">
        <f t="shared" si="17"/>
        <v>0</v>
      </c>
      <c r="AS15" s="425">
        <f t="shared" si="18"/>
        <v>0</v>
      </c>
      <c r="AT15" s="425">
        <f t="shared" si="19"/>
        <v>0</v>
      </c>
      <c r="AU15" s="425">
        <f t="shared" si="20"/>
        <v>0</v>
      </c>
      <c r="AW15" s="423">
        <f>p_ss2_ad</f>
        <v>0</v>
      </c>
      <c r="AY15" s="419">
        <f t="shared" si="31"/>
        <v>0</v>
      </c>
      <c r="AZ15" s="419">
        <f t="shared" si="22"/>
        <v>258.93</v>
      </c>
      <c r="BA15" s="419">
        <f t="shared" si="32"/>
        <v>849</v>
      </c>
      <c r="BB15" s="419">
        <f t="shared" si="33"/>
        <v>0</v>
      </c>
      <c r="BC15" s="419">
        <f t="shared" si="34"/>
        <v>0</v>
      </c>
      <c r="BE15" s="419">
        <f>wage_rate*((sickdays_1_tx-sickdays_1_notx)*p_txeff_ss2_s+sickdays_1_notx)</f>
        <v>37.119999999999997</v>
      </c>
      <c r="BF15" s="419">
        <f>wage_rate*((sickdays_2_tx-sickdays_2_notx)*p_txeff_ss2_s+sickdays_2_notx)</f>
        <v>53.359999999999992</v>
      </c>
      <c r="BG15" s="419">
        <f>wage_rate*((sickdays_3_tx-sickdays_3_notx)*p_txeff_ss2_s+sickdays_3_notx)</f>
        <v>0</v>
      </c>
      <c r="BH15" s="443">
        <f>wage_rate*((sickdays_4_tx-sickdays_4_notx)*p_txeff_ss2_s+sickdays_4_notx)</f>
        <v>0</v>
      </c>
    </row>
    <row r="16" spans="1:651">
      <c r="B16" s="247"/>
      <c r="C16" s="8"/>
      <c r="D16" s="429" t="str">
        <f t="shared" si="29"/>
        <v>Real world scenario_Seek care_Public location_Health Center_Substandard Quality 3</v>
      </c>
      <c r="E16" s="429">
        <f t="shared" si="1"/>
        <v>1000000</v>
      </c>
      <c r="F16" s="429" t="s">
        <v>393</v>
      </c>
      <c r="G16" s="429" t="s">
        <v>371</v>
      </c>
      <c r="H16" s="430">
        <f t="shared" si="2"/>
        <v>0.35</v>
      </c>
      <c r="I16" s="429" t="s">
        <v>394</v>
      </c>
      <c r="J16" s="430">
        <f t="shared" si="3"/>
        <v>0.5</v>
      </c>
      <c r="K16" s="429" t="s">
        <v>401</v>
      </c>
      <c r="L16" s="430">
        <f t="shared" si="30"/>
        <v>0.5</v>
      </c>
      <c r="M16" s="429" t="s">
        <v>400</v>
      </c>
      <c r="N16" s="430">
        <f>p_p1_pubhc_f</f>
        <v>6.2E-2</v>
      </c>
      <c r="O16" s="429" t="s">
        <v>57</v>
      </c>
      <c r="P16" s="430">
        <f>p_updose_pubhc</f>
        <v>0</v>
      </c>
      <c r="Q16" s="429">
        <f>H16*J16*L16*N16*P16</f>
        <v>0</v>
      </c>
      <c r="S16" s="425">
        <f>total_doses_up_f</f>
        <v>0</v>
      </c>
      <c r="U16" s="425">
        <f>ly_tx</f>
        <v>0</v>
      </c>
      <c r="V16" s="425">
        <f>qaly_tx</f>
        <v>0</v>
      </c>
      <c r="W16" s="425">
        <f>daly_tx</f>
        <v>0</v>
      </c>
      <c r="X16" s="425">
        <f>death_tx</f>
        <v>3.0000000000000001E-3</v>
      </c>
      <c r="Y16" s="425">
        <f>custom1_tx</f>
        <v>7.4999999999999997E-2</v>
      </c>
      <c r="Z16" s="425">
        <f>custom2_tx</f>
        <v>0.03</v>
      </c>
      <c r="AA16" s="425">
        <f>custom3_tx</f>
        <v>0</v>
      </c>
      <c r="AB16" s="425">
        <f>custom4_tx</f>
        <v>0</v>
      </c>
      <c r="AD16" s="425">
        <f t="shared" si="4"/>
        <v>0</v>
      </c>
      <c r="AE16" s="425">
        <f t="shared" si="5"/>
        <v>0</v>
      </c>
      <c r="AF16" s="425">
        <f t="shared" si="6"/>
        <v>0</v>
      </c>
      <c r="AG16" s="425">
        <f t="shared" si="7"/>
        <v>0</v>
      </c>
      <c r="AH16" s="425">
        <f t="shared" si="8"/>
        <v>0</v>
      </c>
      <c r="AI16" s="425">
        <f t="shared" si="9"/>
        <v>0</v>
      </c>
      <c r="AJ16" s="425">
        <f t="shared" si="10"/>
        <v>0</v>
      </c>
      <c r="AK16" s="425">
        <f t="shared" si="11"/>
        <v>0</v>
      </c>
      <c r="AM16" s="426">
        <f t="shared" si="12"/>
        <v>0</v>
      </c>
      <c r="AN16" s="425">
        <f t="shared" si="13"/>
        <v>0</v>
      </c>
      <c r="AO16" s="425">
        <f t="shared" si="14"/>
        <v>0</v>
      </c>
      <c r="AP16" s="425">
        <f t="shared" si="15"/>
        <v>0</v>
      </c>
      <c r="AQ16" s="425">
        <f t="shared" si="16"/>
        <v>0</v>
      </c>
      <c r="AR16" s="425">
        <f t="shared" si="17"/>
        <v>0</v>
      </c>
      <c r="AS16" s="425">
        <f t="shared" si="18"/>
        <v>0</v>
      </c>
      <c r="AT16" s="425">
        <f t="shared" si="19"/>
        <v>0</v>
      </c>
      <c r="AU16" s="425">
        <f t="shared" si="20"/>
        <v>0</v>
      </c>
      <c r="AW16" s="423">
        <f>p_f_ad</f>
        <v>0</v>
      </c>
      <c r="AY16" s="419">
        <f t="shared" si="31"/>
        <v>0</v>
      </c>
      <c r="AZ16" s="419">
        <f t="shared" si="22"/>
        <v>258.93</v>
      </c>
      <c r="BA16" s="419">
        <f t="shared" si="32"/>
        <v>849</v>
      </c>
      <c r="BB16" s="419">
        <f t="shared" si="33"/>
        <v>0</v>
      </c>
      <c r="BC16" s="419">
        <f t="shared" si="34"/>
        <v>0</v>
      </c>
      <c r="BE16" s="419">
        <f>wage_rate*sickdays_1_tx</f>
        <v>37.119999999999997</v>
      </c>
      <c r="BF16" s="419">
        <f>wage_rate*sickdays_2_tx</f>
        <v>53.359999999999992</v>
      </c>
      <c r="BG16" s="419">
        <f>wage_rate*sickdays_3_tx</f>
        <v>0</v>
      </c>
      <c r="BH16" s="443">
        <f>wage_rate*sickdays_4_tx</f>
        <v>0</v>
      </c>
    </row>
    <row r="17" spans="2:60" ht="15.5">
      <c r="B17" s="540" t="s">
        <v>15</v>
      </c>
      <c r="C17" s="8"/>
      <c r="D17" s="429" t="str">
        <f t="shared" ref="D17" si="37">_xlfn.CONCAT(F17,"_",G17,"_",I17,"_",K17,"_",M17)</f>
        <v>Real world scenario_Seek care_Public location_Health Center_Substandard Quality 3</v>
      </c>
      <c r="E17" s="429">
        <f t="shared" si="1"/>
        <v>1000000</v>
      </c>
      <c r="F17" s="429" t="s">
        <v>393</v>
      </c>
      <c r="G17" s="429" t="s">
        <v>371</v>
      </c>
      <c r="H17" s="430">
        <f t="shared" si="2"/>
        <v>0.35</v>
      </c>
      <c r="I17" s="429" t="s">
        <v>394</v>
      </c>
      <c r="J17" s="430">
        <f t="shared" si="3"/>
        <v>0.5</v>
      </c>
      <c r="K17" s="429" t="s">
        <v>401</v>
      </c>
      <c r="L17" s="430">
        <f t="shared" si="30"/>
        <v>0.5</v>
      </c>
      <c r="M17" s="429" t="s">
        <v>400</v>
      </c>
      <c r="N17" s="430">
        <f>p_p1_pubhc_f</f>
        <v>6.2E-2</v>
      </c>
      <c r="O17" s="429" t="s">
        <v>398</v>
      </c>
      <c r="P17" s="430">
        <f>1-p_updose_pubhc</f>
        <v>1</v>
      </c>
      <c r="Q17" s="429">
        <f>H17*J17*L17*N17*P17</f>
        <v>5.4249999999999993E-3</v>
      </c>
      <c r="S17" s="425">
        <v>1</v>
      </c>
      <c r="U17" s="425">
        <f>ly_notx</f>
        <v>0</v>
      </c>
      <c r="V17" s="425">
        <f>qaly_notx</f>
        <v>0</v>
      </c>
      <c r="W17" s="425">
        <f>daly_notx</f>
        <v>0</v>
      </c>
      <c r="X17" s="425">
        <f>death_notx</f>
        <v>8.9999999999999993E-3</v>
      </c>
      <c r="Y17" s="425">
        <f>custom1_notx</f>
        <v>0.23</v>
      </c>
      <c r="Z17" s="425">
        <f>custom2_notx</f>
        <v>9.1999999999999998E-2</v>
      </c>
      <c r="AA17" s="425">
        <f>custom3_notx</f>
        <v>0</v>
      </c>
      <c r="AB17" s="425">
        <f>custom4_notx</f>
        <v>0</v>
      </c>
      <c r="AD17" s="425">
        <f t="shared" si="4"/>
        <v>0</v>
      </c>
      <c r="AE17" s="425">
        <f t="shared" si="5"/>
        <v>0</v>
      </c>
      <c r="AF17" s="425">
        <f t="shared" si="6"/>
        <v>0</v>
      </c>
      <c r="AG17" s="425">
        <f t="shared" si="7"/>
        <v>4.8824999999999987E-5</v>
      </c>
      <c r="AH17" s="425">
        <f t="shared" si="8"/>
        <v>1.2477499999999999E-3</v>
      </c>
      <c r="AI17" s="425">
        <f t="shared" si="9"/>
        <v>4.9909999999999993E-4</v>
      </c>
      <c r="AJ17" s="425">
        <f t="shared" si="10"/>
        <v>0</v>
      </c>
      <c r="AK17" s="425">
        <f t="shared" si="11"/>
        <v>0</v>
      </c>
      <c r="AM17" s="426">
        <f t="shared" si="12"/>
        <v>5424.9999999999991</v>
      </c>
      <c r="AN17" s="425">
        <f t="shared" si="13"/>
        <v>0</v>
      </c>
      <c r="AO17" s="425">
        <f t="shared" si="14"/>
        <v>0</v>
      </c>
      <c r="AP17" s="425">
        <f t="shared" si="15"/>
        <v>0</v>
      </c>
      <c r="AQ17" s="425">
        <f t="shared" si="16"/>
        <v>48.824999999999989</v>
      </c>
      <c r="AR17" s="425">
        <f t="shared" si="17"/>
        <v>1247.75</v>
      </c>
      <c r="AS17" s="425">
        <f t="shared" si="18"/>
        <v>499.09999999999991</v>
      </c>
      <c r="AT17" s="425">
        <f t="shared" si="19"/>
        <v>0</v>
      </c>
      <c r="AU17" s="425">
        <f t="shared" si="20"/>
        <v>0</v>
      </c>
      <c r="AW17" s="423">
        <f>p_f_ad</f>
        <v>0</v>
      </c>
      <c r="AY17" s="419">
        <f t="shared" si="31"/>
        <v>0</v>
      </c>
      <c r="AZ17" s="419">
        <f t="shared" si="22"/>
        <v>258.93</v>
      </c>
      <c r="BA17" s="419">
        <f t="shared" si="32"/>
        <v>849</v>
      </c>
      <c r="BB17" s="419">
        <f t="shared" si="33"/>
        <v>0</v>
      </c>
      <c r="BC17" s="419">
        <f t="shared" si="34"/>
        <v>0</v>
      </c>
      <c r="BE17" s="419">
        <f>wage_rate*sickdays_1_notx</f>
        <v>37.119999999999997</v>
      </c>
      <c r="BF17" s="419">
        <f>wage_rate*sickdays_2_notx</f>
        <v>53.359999999999992</v>
      </c>
      <c r="BG17" s="419">
        <f>wage_rate*sickdays_3_notx</f>
        <v>0</v>
      </c>
      <c r="BH17" s="443">
        <f>wage_rate*sickdays_4_notx</f>
        <v>0</v>
      </c>
    </row>
    <row r="18" spans="2:60" ht="15.5">
      <c r="B18" s="542"/>
      <c r="C18" s="8"/>
      <c r="D18" s="429" t="str">
        <f>_xlfn.CONCAT(F18,"_",G18,"_",I18,"_",K18,"_",M18)</f>
        <v>Real world scenario_Seek care_Private location_Hospital_Standard Quality</v>
      </c>
      <c r="E18" s="429">
        <f t="shared" si="1"/>
        <v>1000000</v>
      </c>
      <c r="F18" s="429" t="s">
        <v>393</v>
      </c>
      <c r="G18" s="429" t="s">
        <v>371</v>
      </c>
      <c r="H18" s="430">
        <f t="shared" si="2"/>
        <v>0.35</v>
      </c>
      <c r="I18" s="429" t="s">
        <v>402</v>
      </c>
      <c r="J18" s="430">
        <f>pop_receive_priv</f>
        <v>0.5</v>
      </c>
      <c r="K18" s="429" t="s">
        <v>395</v>
      </c>
      <c r="L18" s="430">
        <f>p_priv_hos</f>
        <v>0.33333333333333331</v>
      </c>
      <c r="M18" s="429" t="s">
        <v>23</v>
      </c>
      <c r="N18" s="430">
        <f>1-(p_p1_privh_ss1+p_p1_privh_ss2+p_p1_privh_f)</f>
        <v>0.83799999999999997</v>
      </c>
      <c r="O18" s="431" t="s">
        <v>396</v>
      </c>
      <c r="P18" s="430"/>
      <c r="Q18" s="429">
        <f>H18*J18*L18*N18</f>
        <v>4.8883333333333327E-2</v>
      </c>
      <c r="S18" s="425">
        <v>1</v>
      </c>
      <c r="U18" s="425">
        <f>ly_tx</f>
        <v>0</v>
      </c>
      <c r="V18" s="425">
        <f>qaly_tx</f>
        <v>0</v>
      </c>
      <c r="W18" s="425">
        <f>daly_tx</f>
        <v>0</v>
      </c>
      <c r="X18" s="425">
        <f>death_tx</f>
        <v>3.0000000000000001E-3</v>
      </c>
      <c r="Y18" s="425">
        <f>custom1_tx</f>
        <v>7.4999999999999997E-2</v>
      </c>
      <c r="Z18" s="425">
        <f>custom2_tx</f>
        <v>0.03</v>
      </c>
      <c r="AA18" s="425">
        <f>custom3_tx</f>
        <v>0</v>
      </c>
      <c r="AB18" s="425">
        <f>custom4_tx</f>
        <v>0</v>
      </c>
      <c r="AD18" s="425">
        <f t="shared" si="4"/>
        <v>0</v>
      </c>
      <c r="AE18" s="425">
        <f t="shared" si="5"/>
        <v>0</v>
      </c>
      <c r="AF18" s="425">
        <f t="shared" si="6"/>
        <v>0</v>
      </c>
      <c r="AG18" s="425">
        <f t="shared" si="7"/>
        <v>1.4664999999999999E-4</v>
      </c>
      <c r="AH18" s="425">
        <f t="shared" si="8"/>
        <v>3.6662499999999994E-3</v>
      </c>
      <c r="AI18" s="425">
        <f t="shared" si="9"/>
        <v>1.4664999999999997E-3</v>
      </c>
      <c r="AJ18" s="425">
        <f t="shared" si="10"/>
        <v>0</v>
      </c>
      <c r="AK18" s="425">
        <f t="shared" si="11"/>
        <v>0</v>
      </c>
      <c r="AM18" s="426">
        <f t="shared" si="12"/>
        <v>48883.333333333328</v>
      </c>
      <c r="AN18" s="425">
        <f t="shared" si="13"/>
        <v>0</v>
      </c>
      <c r="AO18" s="425">
        <f t="shared" si="14"/>
        <v>0</v>
      </c>
      <c r="AP18" s="425">
        <f t="shared" si="15"/>
        <v>0</v>
      </c>
      <c r="AQ18" s="425">
        <f t="shared" si="16"/>
        <v>146.64999999999998</v>
      </c>
      <c r="AR18" s="425">
        <f t="shared" si="17"/>
        <v>3666.2499999999995</v>
      </c>
      <c r="AS18" s="425">
        <f t="shared" si="18"/>
        <v>1466.4999999999998</v>
      </c>
      <c r="AT18" s="425">
        <f t="shared" si="19"/>
        <v>0</v>
      </c>
      <c r="AU18" s="425">
        <f t="shared" si="20"/>
        <v>0</v>
      </c>
      <c r="AW18" s="423">
        <v>0</v>
      </c>
      <c r="AY18" s="419">
        <f t="shared" ref="AY18:AY38" si="38">IF(AND(I18="Private location", K18="Hospital"), c_drug_priv_hos, IF(K18="Pharmacy", c_drug_priv_phar, c_drug_other))*S18</f>
        <v>0</v>
      </c>
      <c r="AZ18" s="419">
        <f t="shared" ref="AZ18:AZ38" si="39">IF(AND(N18="Private location", T18="Hospital"),c_custom1_privhos, IF(T18="Pharmacy", c_custom1_privphar, c_custom1_other))</f>
        <v>258.93</v>
      </c>
      <c r="BA18" s="419">
        <f t="shared" ref="BA18:BA38" si="40">IF(AND(Q18="Private location", U18="Hospital"),c_custom2_privhos, IF(U18="Pharmacy", c_custom2_privphar, c_custom2_other))</f>
        <v>849</v>
      </c>
      <c r="BB18" s="419">
        <f t="shared" ref="BB18:BB38" si="41">IF(AND(T18="Private location", V18="Hospital"),c_custom3_privhos, IF(V18="Pharmacy", c_custom3_privphar, c_custom3_other))</f>
        <v>0</v>
      </c>
      <c r="BC18" s="419">
        <f t="shared" ref="BC18:BC38" si="42">IF(AND(U18="Private location", W18="Hospital"),c_custom4_privhos, IF(W18="Pharmacy", c_custom4_privphar, c_custom4_other))</f>
        <v>0</v>
      </c>
      <c r="BE18" s="419">
        <f>wage_rate*sickdays_1_tx</f>
        <v>37.119999999999997</v>
      </c>
      <c r="BF18" s="419">
        <f>wage_rate*sickdays_2_tx</f>
        <v>53.359999999999992</v>
      </c>
      <c r="BG18" s="419">
        <f>wage_rate*sickdays_3_tx</f>
        <v>0</v>
      </c>
      <c r="BH18" s="443">
        <f>wage_rate*sickdays_4_tx</f>
        <v>0</v>
      </c>
    </row>
    <row r="19" spans="2:60">
      <c r="B19" s="248"/>
      <c r="C19" s="8"/>
      <c r="D19" s="429" t="str">
        <f t="shared" si="29"/>
        <v>Real world scenario_Seek care_Private location_Hospital_Substandard Quality1</v>
      </c>
      <c r="E19" s="429">
        <f t="shared" si="1"/>
        <v>1000000</v>
      </c>
      <c r="F19" s="429" t="s">
        <v>393</v>
      </c>
      <c r="G19" s="429" t="s">
        <v>371</v>
      </c>
      <c r="H19" s="430">
        <f t="shared" si="2"/>
        <v>0.35</v>
      </c>
      <c r="I19" s="429" t="s">
        <v>402</v>
      </c>
      <c r="J19" s="430">
        <f t="shared" ref="J19:J38" si="43">pop_receive_priv</f>
        <v>0.5</v>
      </c>
      <c r="K19" s="429" t="s">
        <v>395</v>
      </c>
      <c r="L19" s="430">
        <f>p_priv_hos</f>
        <v>0.33333333333333331</v>
      </c>
      <c r="M19" s="429" t="s">
        <v>397</v>
      </c>
      <c r="N19" s="430">
        <f>p_p1_privh_ss1</f>
        <v>0.1</v>
      </c>
      <c r="O19" s="429" t="s">
        <v>57</v>
      </c>
      <c r="P19" s="430">
        <f>p_updose_prihos</f>
        <v>0</v>
      </c>
      <c r="Q19" s="429">
        <f t="shared" si="24"/>
        <v>0</v>
      </c>
      <c r="S19" s="425">
        <f>total_doses_up_ss1</f>
        <v>0</v>
      </c>
      <c r="U19" s="425">
        <f>ly_tx</f>
        <v>0</v>
      </c>
      <c r="V19" s="425">
        <f>qaly_tx</f>
        <v>0</v>
      </c>
      <c r="W19" s="425">
        <f>daly_tx</f>
        <v>0</v>
      </c>
      <c r="X19" s="425">
        <f>death_tx</f>
        <v>3.0000000000000001E-3</v>
      </c>
      <c r="Y19" s="425">
        <f>custom1_tx</f>
        <v>7.4999999999999997E-2</v>
      </c>
      <c r="Z19" s="425">
        <f>custom2_tx</f>
        <v>0.03</v>
      </c>
      <c r="AA19" s="425">
        <f>custom3_tx</f>
        <v>0</v>
      </c>
      <c r="AB19" s="425">
        <f>custom4_tx</f>
        <v>0</v>
      </c>
      <c r="AD19" s="425">
        <f t="shared" si="4"/>
        <v>0</v>
      </c>
      <c r="AE19" s="425">
        <f t="shared" si="5"/>
        <v>0</v>
      </c>
      <c r="AF19" s="425">
        <f t="shared" si="6"/>
        <v>0</v>
      </c>
      <c r="AG19" s="425">
        <f t="shared" si="7"/>
        <v>0</v>
      </c>
      <c r="AH19" s="425">
        <f t="shared" si="8"/>
        <v>0</v>
      </c>
      <c r="AI19" s="425">
        <f t="shared" si="9"/>
        <v>0</v>
      </c>
      <c r="AJ19" s="425">
        <f t="shared" si="10"/>
        <v>0</v>
      </c>
      <c r="AK19" s="425">
        <f t="shared" si="11"/>
        <v>0</v>
      </c>
      <c r="AM19" s="426">
        <f t="shared" si="12"/>
        <v>0</v>
      </c>
      <c r="AN19" s="425">
        <f t="shared" si="13"/>
        <v>0</v>
      </c>
      <c r="AO19" s="425">
        <f t="shared" si="14"/>
        <v>0</v>
      </c>
      <c r="AP19" s="425">
        <f t="shared" si="15"/>
        <v>0</v>
      </c>
      <c r="AQ19" s="425">
        <f t="shared" si="16"/>
        <v>0</v>
      </c>
      <c r="AR19" s="425">
        <f t="shared" si="17"/>
        <v>0</v>
      </c>
      <c r="AS19" s="425">
        <f t="shared" si="18"/>
        <v>0</v>
      </c>
      <c r="AT19" s="425">
        <f t="shared" si="19"/>
        <v>0</v>
      </c>
      <c r="AU19" s="425">
        <f t="shared" si="20"/>
        <v>0</v>
      </c>
      <c r="AW19" s="423">
        <f>p_ss1_ad</f>
        <v>0</v>
      </c>
      <c r="AY19" s="419">
        <f t="shared" si="38"/>
        <v>0</v>
      </c>
      <c r="AZ19" s="419">
        <f t="shared" si="39"/>
        <v>258.93</v>
      </c>
      <c r="BA19" s="419">
        <f t="shared" si="40"/>
        <v>849</v>
      </c>
      <c r="BB19" s="419">
        <f t="shared" si="41"/>
        <v>0</v>
      </c>
      <c r="BC19" s="419">
        <f t="shared" si="42"/>
        <v>0</v>
      </c>
      <c r="BE19" s="419">
        <f>wage_rate*sickdays_1_tx</f>
        <v>37.119999999999997</v>
      </c>
      <c r="BF19" s="419">
        <f>wage_rate*sickdays_2_tx</f>
        <v>53.359999999999992</v>
      </c>
      <c r="BG19" s="419">
        <f>wage_rate*sickdays_3_tx</f>
        <v>0</v>
      </c>
      <c r="BH19" s="443">
        <f>wage_rate*sickdays_4_tx</f>
        <v>0</v>
      </c>
    </row>
    <row r="20" spans="2:60" ht="18" customHeight="1">
      <c r="B20" s="540" t="s">
        <v>18</v>
      </c>
      <c r="C20" s="8"/>
      <c r="D20" s="429" t="str">
        <f t="shared" ref="D20" si="44">_xlfn.CONCAT(F20,"_",G20,"_",I20,"_",K20,"_",M20)</f>
        <v>Real world scenario_Seek care_Private location_Hospital_Substandard Quality1</v>
      </c>
      <c r="E20" s="429">
        <f t="shared" si="1"/>
        <v>1000000</v>
      </c>
      <c r="F20" s="429" t="s">
        <v>393</v>
      </c>
      <c r="G20" s="429" t="s">
        <v>371</v>
      </c>
      <c r="H20" s="430">
        <f t="shared" si="2"/>
        <v>0.35</v>
      </c>
      <c r="I20" s="429" t="s">
        <v>402</v>
      </c>
      <c r="J20" s="430">
        <f t="shared" si="43"/>
        <v>0.5</v>
      </c>
      <c r="K20" s="429" t="s">
        <v>395</v>
      </c>
      <c r="L20" s="430">
        <f t="shared" ref="L20:L24" si="45">p_priv_hos</f>
        <v>0.33333333333333331</v>
      </c>
      <c r="M20" s="429" t="s">
        <v>397</v>
      </c>
      <c r="N20" s="430">
        <f>p_p1_privh_ss1</f>
        <v>0.1</v>
      </c>
      <c r="O20" s="429" t="s">
        <v>398</v>
      </c>
      <c r="P20" s="430">
        <f>1-p_updose_prihos</f>
        <v>1</v>
      </c>
      <c r="Q20" s="429">
        <f t="shared" si="24"/>
        <v>5.8333333333333327E-3</v>
      </c>
      <c r="S20" s="425">
        <v>1</v>
      </c>
      <c r="U20" s="425">
        <f>(ly_tx-ly_notx)*p_txeff_ss1_s+ly_notx</f>
        <v>0</v>
      </c>
      <c r="V20" s="425">
        <f>(qaly_tx-qaly_notx)*p_txeff_ss1_s+qaly_notx</f>
        <v>0</v>
      </c>
      <c r="W20" s="425">
        <f>(daly_tx-daly_notx)*p_txeff_ss1_s+daly_notx</f>
        <v>0</v>
      </c>
      <c r="X20" s="425">
        <f>(death_tx-death_notx)*p_txeff_ss1_s+death_notx</f>
        <v>5.4000000000000003E-3</v>
      </c>
      <c r="Y20" s="425">
        <f>(custom1_tx-custom1_notx)*p_txeff_ss1_s+custom1_notx</f>
        <v>0.13700000000000001</v>
      </c>
      <c r="Z20" s="425">
        <f>(custom2_tx-custom2_notx)*p_txeff_ss1_s+custom2_notx</f>
        <v>5.4800000000000001E-2</v>
      </c>
      <c r="AA20" s="425">
        <f>(custom3_tx-custom3_notx)*p_txeff_ss1_s+custom3_notx</f>
        <v>0</v>
      </c>
      <c r="AB20" s="425">
        <f>(custom4_tx-custom4_notx)*p_txeff_ss1_s+custom4_notx</f>
        <v>0</v>
      </c>
      <c r="AD20" s="425">
        <f t="shared" si="4"/>
        <v>0</v>
      </c>
      <c r="AE20" s="425">
        <f t="shared" si="5"/>
        <v>0</v>
      </c>
      <c r="AF20" s="425">
        <f t="shared" si="6"/>
        <v>0</v>
      </c>
      <c r="AG20" s="425">
        <f t="shared" si="7"/>
        <v>3.15E-5</v>
      </c>
      <c r="AH20" s="425">
        <f t="shared" si="8"/>
        <v>7.9916666666666667E-4</v>
      </c>
      <c r="AI20" s="425">
        <f t="shared" si="9"/>
        <v>3.1966666666666667E-4</v>
      </c>
      <c r="AJ20" s="425">
        <f t="shared" si="10"/>
        <v>0</v>
      </c>
      <c r="AK20" s="425">
        <f t="shared" si="11"/>
        <v>0</v>
      </c>
      <c r="AM20" s="426">
        <f t="shared" si="12"/>
        <v>5833.333333333333</v>
      </c>
      <c r="AN20" s="425">
        <f t="shared" si="13"/>
        <v>0</v>
      </c>
      <c r="AO20" s="425">
        <f t="shared" si="14"/>
        <v>0</v>
      </c>
      <c r="AP20" s="425">
        <f t="shared" si="15"/>
        <v>0</v>
      </c>
      <c r="AQ20" s="425">
        <f t="shared" si="16"/>
        <v>31.5</v>
      </c>
      <c r="AR20" s="425">
        <f t="shared" si="17"/>
        <v>799.16666666666663</v>
      </c>
      <c r="AS20" s="425">
        <f t="shared" si="18"/>
        <v>319.66666666666669</v>
      </c>
      <c r="AT20" s="425">
        <f t="shared" si="19"/>
        <v>0</v>
      </c>
      <c r="AU20" s="425">
        <f t="shared" si="20"/>
        <v>0</v>
      </c>
      <c r="AW20" s="423">
        <f>p_ss1_ad</f>
        <v>0</v>
      </c>
      <c r="AY20" s="419">
        <f t="shared" si="38"/>
        <v>0</v>
      </c>
      <c r="AZ20" s="419">
        <f t="shared" si="39"/>
        <v>258.93</v>
      </c>
      <c r="BA20" s="419">
        <f t="shared" si="40"/>
        <v>849</v>
      </c>
      <c r="BB20" s="419">
        <f t="shared" si="41"/>
        <v>0</v>
      </c>
      <c r="BC20" s="419">
        <f t="shared" si="42"/>
        <v>0</v>
      </c>
      <c r="BE20" s="419">
        <f>wage_rate*((sickdays_1_tx-sickdays_1_notx)*p_txeff_ss1_s+sickdays_1_notx)</f>
        <v>37.119999999999997</v>
      </c>
      <c r="BF20" s="419">
        <f>wage_rate*((sickdays_2_tx-sickdays_2_notx)*p_txeff_ss1_s+sickdays_2_notx)</f>
        <v>53.359999999999992</v>
      </c>
      <c r="BG20" s="419">
        <f>wage_rate*((sickdays_3_tx-sickdays_3_notx)*p_txeff_ss1_s+sickdays_3_notx)</f>
        <v>0</v>
      </c>
      <c r="BH20" s="443">
        <f>wage_rate*((sickdays_4_tx-sickdays_4_notx)*p_txeff_ss1_s+sickdays_4_notx)</f>
        <v>0</v>
      </c>
    </row>
    <row r="21" spans="2:60" ht="16" customHeight="1">
      <c r="B21" s="541"/>
      <c r="C21" s="8"/>
      <c r="D21" s="429" t="str">
        <f t="shared" si="29"/>
        <v>Real world scenario_Seek care_Private location_Hospital_Substandard Quality2</v>
      </c>
      <c r="E21" s="429">
        <f t="shared" si="1"/>
        <v>1000000</v>
      </c>
      <c r="F21" s="429" t="s">
        <v>393</v>
      </c>
      <c r="G21" s="429" t="s">
        <v>371</v>
      </c>
      <c r="H21" s="430">
        <f t="shared" si="2"/>
        <v>0.35</v>
      </c>
      <c r="I21" s="429" t="s">
        <v>402</v>
      </c>
      <c r="J21" s="430">
        <f t="shared" si="43"/>
        <v>0.5</v>
      </c>
      <c r="K21" s="429" t="s">
        <v>395</v>
      </c>
      <c r="L21" s="430">
        <f t="shared" si="45"/>
        <v>0.33333333333333331</v>
      </c>
      <c r="M21" s="429" t="s">
        <v>399</v>
      </c>
      <c r="N21" s="430">
        <f>p_p1_privh_ss2</f>
        <v>0</v>
      </c>
      <c r="O21" s="429" t="s">
        <v>57</v>
      </c>
      <c r="P21" s="430">
        <f>p_updose_prihos</f>
        <v>0</v>
      </c>
      <c r="Q21" s="429">
        <f t="shared" si="24"/>
        <v>0</v>
      </c>
      <c r="S21" s="425">
        <f>total_doses_up_ss2</f>
        <v>0</v>
      </c>
      <c r="U21" s="425">
        <f>ly_tx</f>
        <v>0</v>
      </c>
      <c r="V21" s="425">
        <f>qaly_tx</f>
        <v>0</v>
      </c>
      <c r="W21" s="425">
        <f>daly_tx</f>
        <v>0</v>
      </c>
      <c r="X21" s="425">
        <f>death_tx</f>
        <v>3.0000000000000001E-3</v>
      </c>
      <c r="Y21" s="425">
        <f>custom1_tx</f>
        <v>7.4999999999999997E-2</v>
      </c>
      <c r="Z21" s="425">
        <f>custom2_tx</f>
        <v>0.03</v>
      </c>
      <c r="AA21" s="425">
        <f>custom3_tx</f>
        <v>0</v>
      </c>
      <c r="AB21" s="425">
        <f>custom4_tx</f>
        <v>0</v>
      </c>
      <c r="AD21" s="425">
        <f t="shared" si="4"/>
        <v>0</v>
      </c>
      <c r="AE21" s="425">
        <f t="shared" si="5"/>
        <v>0</v>
      </c>
      <c r="AF21" s="425">
        <f t="shared" si="6"/>
        <v>0</v>
      </c>
      <c r="AG21" s="425">
        <f t="shared" si="7"/>
        <v>0</v>
      </c>
      <c r="AH21" s="425">
        <f t="shared" si="8"/>
        <v>0</v>
      </c>
      <c r="AI21" s="425">
        <f t="shared" si="9"/>
        <v>0</v>
      </c>
      <c r="AJ21" s="425">
        <f t="shared" si="10"/>
        <v>0</v>
      </c>
      <c r="AK21" s="425">
        <f t="shared" si="11"/>
        <v>0</v>
      </c>
      <c r="AM21" s="426">
        <f t="shared" si="12"/>
        <v>0</v>
      </c>
      <c r="AN21" s="425">
        <f t="shared" si="13"/>
        <v>0</v>
      </c>
      <c r="AO21" s="425">
        <f t="shared" si="14"/>
        <v>0</v>
      </c>
      <c r="AP21" s="425">
        <f t="shared" si="15"/>
        <v>0</v>
      </c>
      <c r="AQ21" s="425">
        <f t="shared" si="16"/>
        <v>0</v>
      </c>
      <c r="AR21" s="425">
        <f t="shared" si="17"/>
        <v>0</v>
      </c>
      <c r="AS21" s="425">
        <f t="shared" si="18"/>
        <v>0</v>
      </c>
      <c r="AT21" s="425">
        <f t="shared" si="19"/>
        <v>0</v>
      </c>
      <c r="AU21" s="425">
        <f t="shared" si="20"/>
        <v>0</v>
      </c>
      <c r="AW21" s="423">
        <f>p_ss2_ad</f>
        <v>0</v>
      </c>
      <c r="AY21" s="419">
        <f t="shared" si="38"/>
        <v>0</v>
      </c>
      <c r="AZ21" s="419">
        <f t="shared" si="39"/>
        <v>258.93</v>
      </c>
      <c r="BA21" s="419">
        <f t="shared" si="40"/>
        <v>849</v>
      </c>
      <c r="BB21" s="419">
        <f t="shared" si="41"/>
        <v>0</v>
      </c>
      <c r="BC21" s="419">
        <f t="shared" si="42"/>
        <v>0</v>
      </c>
      <c r="BE21" s="419">
        <f>wage_rate*sickdays_1_tx</f>
        <v>37.119999999999997</v>
      </c>
      <c r="BF21" s="419">
        <f>wage_rate*sickdays_2_tx</f>
        <v>53.359999999999992</v>
      </c>
      <c r="BG21" s="419">
        <f>wage_rate*sickdays_3_tx</f>
        <v>0</v>
      </c>
      <c r="BH21" s="443">
        <f>wage_rate*sickdays_4_tx</f>
        <v>0</v>
      </c>
    </row>
    <row r="22" spans="2:60" ht="19" customHeight="1">
      <c r="B22" s="541"/>
      <c r="C22" s="8"/>
      <c r="D22" s="429" t="str">
        <f t="shared" ref="D22" si="46">_xlfn.CONCAT(F22,"_",G22,"_",I22,"_",K22,"_",M22)</f>
        <v>Real world scenario_Seek care_Private location_Hospital_Substandard Quality2</v>
      </c>
      <c r="E22" s="429">
        <f t="shared" si="1"/>
        <v>1000000</v>
      </c>
      <c r="F22" s="429" t="s">
        <v>393</v>
      </c>
      <c r="G22" s="429" t="s">
        <v>371</v>
      </c>
      <c r="H22" s="430">
        <f t="shared" si="2"/>
        <v>0.35</v>
      </c>
      <c r="I22" s="429" t="s">
        <v>402</v>
      </c>
      <c r="J22" s="430">
        <f t="shared" si="43"/>
        <v>0.5</v>
      </c>
      <c r="K22" s="429" t="s">
        <v>395</v>
      </c>
      <c r="L22" s="430">
        <f t="shared" si="45"/>
        <v>0.33333333333333331</v>
      </c>
      <c r="M22" s="429" t="s">
        <v>399</v>
      </c>
      <c r="N22" s="430">
        <f>p_p1_privh_ss2</f>
        <v>0</v>
      </c>
      <c r="O22" s="429" t="s">
        <v>398</v>
      </c>
      <c r="P22" s="430">
        <f>1-p_updose_prihos</f>
        <v>1</v>
      </c>
      <c r="Q22" s="429">
        <f t="shared" si="24"/>
        <v>0</v>
      </c>
      <c r="S22" s="425">
        <v>1</v>
      </c>
      <c r="U22" s="425">
        <f>(ly_tx-ly_notx)*p_txeff_ss2_s+ly_notx</f>
        <v>0</v>
      </c>
      <c r="V22" s="425">
        <f>(qaly_tx-qaly_notx)*p_txeff_ss2_s+qaly_notx</f>
        <v>0</v>
      </c>
      <c r="W22" s="425">
        <f>(daly_tx-daly_notx)*p_txeff_ss2_s+daly_notx</f>
        <v>0</v>
      </c>
      <c r="X22" s="425">
        <f>(death_tx-death_notx)*p_txeff_ss2_s+death_notx</f>
        <v>7.1999999999999998E-3</v>
      </c>
      <c r="Y22" s="425">
        <f>(custom1_tx-custom1_notx)*p_txeff_ss2_s+custom1_notx</f>
        <v>0.1835</v>
      </c>
      <c r="Z22" s="425">
        <f>(custom2_tx-custom2_notx)*p_txeff_ss2_s+custom2_notx</f>
        <v>7.3399999999999993E-2</v>
      </c>
      <c r="AA22" s="425">
        <f>(custom3_tx-custom3_notx)*p_txeff_ss2_s+custom3_notx</f>
        <v>0</v>
      </c>
      <c r="AB22" s="425">
        <f>(custom4_tx-custom4_notx)*p_txeff_ss2_s+custom4_notx</f>
        <v>0</v>
      </c>
      <c r="AD22" s="425">
        <f t="shared" si="4"/>
        <v>0</v>
      </c>
      <c r="AE22" s="425">
        <f t="shared" si="5"/>
        <v>0</v>
      </c>
      <c r="AF22" s="425">
        <f t="shared" si="6"/>
        <v>0</v>
      </c>
      <c r="AG22" s="425">
        <f t="shared" si="7"/>
        <v>0</v>
      </c>
      <c r="AH22" s="425">
        <f t="shared" si="8"/>
        <v>0</v>
      </c>
      <c r="AI22" s="425">
        <f t="shared" si="9"/>
        <v>0</v>
      </c>
      <c r="AJ22" s="425">
        <f t="shared" si="10"/>
        <v>0</v>
      </c>
      <c r="AK22" s="425">
        <f t="shared" si="11"/>
        <v>0</v>
      </c>
      <c r="AM22" s="426">
        <f t="shared" si="12"/>
        <v>0</v>
      </c>
      <c r="AN22" s="425">
        <f t="shared" si="13"/>
        <v>0</v>
      </c>
      <c r="AO22" s="425">
        <f t="shared" si="14"/>
        <v>0</v>
      </c>
      <c r="AP22" s="425">
        <f t="shared" si="15"/>
        <v>0</v>
      </c>
      <c r="AQ22" s="425">
        <f t="shared" si="16"/>
        <v>0</v>
      </c>
      <c r="AR22" s="425">
        <f t="shared" si="17"/>
        <v>0</v>
      </c>
      <c r="AS22" s="425">
        <f t="shared" si="18"/>
        <v>0</v>
      </c>
      <c r="AT22" s="425">
        <f t="shared" si="19"/>
        <v>0</v>
      </c>
      <c r="AU22" s="425">
        <f t="shared" si="20"/>
        <v>0</v>
      </c>
      <c r="AW22" s="423">
        <f>p_ss2_ad</f>
        <v>0</v>
      </c>
      <c r="AY22" s="419">
        <f t="shared" si="38"/>
        <v>0</v>
      </c>
      <c r="AZ22" s="419">
        <f t="shared" si="39"/>
        <v>258.93</v>
      </c>
      <c r="BA22" s="419">
        <f t="shared" si="40"/>
        <v>849</v>
      </c>
      <c r="BB22" s="419">
        <f t="shared" si="41"/>
        <v>0</v>
      </c>
      <c r="BC22" s="419">
        <f t="shared" si="42"/>
        <v>0</v>
      </c>
      <c r="BE22" s="419">
        <f>wage_rate*((sickdays_1_tx-sickdays_1_notx)*p_txeff_ss2_s+sickdays_1_notx)</f>
        <v>37.119999999999997</v>
      </c>
      <c r="BF22" s="419">
        <f>wage_rate*((sickdays_2_tx-sickdays_2_notx)*p_txeff_ss2_s+sickdays_2_notx)</f>
        <v>53.359999999999992</v>
      </c>
      <c r="BG22" s="419">
        <f>wage_rate*((sickdays_3_tx-sickdays_3_notx)*p_txeff_ss2_s+sickdays_3_notx)</f>
        <v>0</v>
      </c>
      <c r="BH22" s="443">
        <f>wage_rate*((sickdays_4_tx-sickdays_4_notx)*p_txeff_ss2_s+sickdays_4_notx)</f>
        <v>0</v>
      </c>
    </row>
    <row r="23" spans="2:60" ht="19" customHeight="1">
      <c r="B23" s="542"/>
      <c r="C23" s="8"/>
      <c r="D23" s="429" t="str">
        <f t="shared" si="29"/>
        <v>Real world scenario_Seek care_Private location_Hospital_Substandard Quality 3</v>
      </c>
      <c r="E23" s="429">
        <f t="shared" si="1"/>
        <v>1000000</v>
      </c>
      <c r="F23" s="429" t="s">
        <v>393</v>
      </c>
      <c r="G23" s="429" t="s">
        <v>371</v>
      </c>
      <c r="H23" s="430">
        <f t="shared" si="2"/>
        <v>0.35</v>
      </c>
      <c r="I23" s="429" t="s">
        <v>402</v>
      </c>
      <c r="J23" s="430">
        <f t="shared" si="43"/>
        <v>0.5</v>
      </c>
      <c r="K23" s="429" t="s">
        <v>395</v>
      </c>
      <c r="L23" s="430">
        <f t="shared" si="45"/>
        <v>0.33333333333333331</v>
      </c>
      <c r="M23" s="429" t="s">
        <v>400</v>
      </c>
      <c r="N23" s="430">
        <f>p_p1_privh_f</f>
        <v>6.2E-2</v>
      </c>
      <c r="O23" s="429" t="s">
        <v>57</v>
      </c>
      <c r="P23" s="430">
        <f>p_updose_prihos</f>
        <v>0</v>
      </c>
      <c r="Q23" s="429">
        <f>H23*J23*L23*N23*P23</f>
        <v>0</v>
      </c>
      <c r="S23" s="425">
        <f>total_doses_up_f</f>
        <v>0</v>
      </c>
      <c r="U23" s="425">
        <f>ly_tx</f>
        <v>0</v>
      </c>
      <c r="V23" s="425">
        <f>qaly_tx</f>
        <v>0</v>
      </c>
      <c r="W23" s="425">
        <f>daly_tx</f>
        <v>0</v>
      </c>
      <c r="X23" s="425">
        <f>death_tx</f>
        <v>3.0000000000000001E-3</v>
      </c>
      <c r="Y23" s="425">
        <f>custom1_tx</f>
        <v>7.4999999999999997E-2</v>
      </c>
      <c r="Z23" s="425">
        <f>custom2_tx</f>
        <v>0.03</v>
      </c>
      <c r="AA23" s="425">
        <f>custom3_tx</f>
        <v>0</v>
      </c>
      <c r="AB23" s="425">
        <f>custom4_tx</f>
        <v>0</v>
      </c>
      <c r="AD23" s="425">
        <f t="shared" si="4"/>
        <v>0</v>
      </c>
      <c r="AE23" s="425">
        <f t="shared" si="5"/>
        <v>0</v>
      </c>
      <c r="AF23" s="425">
        <f t="shared" si="6"/>
        <v>0</v>
      </c>
      <c r="AG23" s="425">
        <f t="shared" si="7"/>
        <v>0</v>
      </c>
      <c r="AH23" s="425">
        <f t="shared" si="8"/>
        <v>0</v>
      </c>
      <c r="AI23" s="425">
        <f t="shared" si="9"/>
        <v>0</v>
      </c>
      <c r="AJ23" s="425">
        <f t="shared" si="10"/>
        <v>0</v>
      </c>
      <c r="AK23" s="425">
        <f t="shared" si="11"/>
        <v>0</v>
      </c>
      <c r="AM23" s="426">
        <f t="shared" si="12"/>
        <v>0</v>
      </c>
      <c r="AN23" s="425">
        <f t="shared" si="13"/>
        <v>0</v>
      </c>
      <c r="AO23" s="425">
        <f t="shared" si="14"/>
        <v>0</v>
      </c>
      <c r="AP23" s="425">
        <f t="shared" si="15"/>
        <v>0</v>
      </c>
      <c r="AQ23" s="425">
        <f t="shared" si="16"/>
        <v>0</v>
      </c>
      <c r="AR23" s="425">
        <f t="shared" si="17"/>
        <v>0</v>
      </c>
      <c r="AS23" s="425">
        <f t="shared" si="18"/>
        <v>0</v>
      </c>
      <c r="AT23" s="425">
        <f t="shared" si="19"/>
        <v>0</v>
      </c>
      <c r="AU23" s="425">
        <f t="shared" si="20"/>
        <v>0</v>
      </c>
      <c r="AW23" s="423">
        <f>p_f_ad</f>
        <v>0</v>
      </c>
      <c r="AY23" s="419">
        <f t="shared" si="38"/>
        <v>0</v>
      </c>
      <c r="AZ23" s="419">
        <f t="shared" si="39"/>
        <v>258.93</v>
      </c>
      <c r="BA23" s="419">
        <f t="shared" si="40"/>
        <v>849</v>
      </c>
      <c r="BB23" s="419">
        <f t="shared" si="41"/>
        <v>0</v>
      </c>
      <c r="BC23" s="419">
        <f t="shared" si="42"/>
        <v>0</v>
      </c>
      <c r="BE23" s="419">
        <f>wage_rate*sickdays_1_tx</f>
        <v>37.119999999999997</v>
      </c>
      <c r="BF23" s="419">
        <f>wage_rate*sickdays_2_tx</f>
        <v>53.359999999999992</v>
      </c>
      <c r="BG23" s="419">
        <f>wage_rate*sickdays_3_tx</f>
        <v>0</v>
      </c>
      <c r="BH23" s="443">
        <f>wage_rate*sickdays_4_tx</f>
        <v>0</v>
      </c>
    </row>
    <row r="24" spans="2:60">
      <c r="B24" s="214"/>
      <c r="C24" s="8"/>
      <c r="D24" s="429" t="str">
        <f t="shared" ref="D24" si="47">_xlfn.CONCAT(F24,"_",G24,"_",I24,"_",K24,"_",M24)</f>
        <v>Real world scenario_Seek care_Private location_Hospital_Substandard Quality 3</v>
      </c>
      <c r="E24" s="429">
        <f t="shared" si="1"/>
        <v>1000000</v>
      </c>
      <c r="F24" s="429" t="s">
        <v>393</v>
      </c>
      <c r="G24" s="429" t="s">
        <v>371</v>
      </c>
      <c r="H24" s="430">
        <f t="shared" si="2"/>
        <v>0.35</v>
      </c>
      <c r="I24" s="429" t="s">
        <v>402</v>
      </c>
      <c r="J24" s="430">
        <f t="shared" si="43"/>
        <v>0.5</v>
      </c>
      <c r="K24" s="429" t="s">
        <v>395</v>
      </c>
      <c r="L24" s="430">
        <f t="shared" si="45"/>
        <v>0.33333333333333331</v>
      </c>
      <c r="M24" s="429" t="s">
        <v>400</v>
      </c>
      <c r="N24" s="430">
        <f>p_p1_privh_f</f>
        <v>6.2E-2</v>
      </c>
      <c r="O24" s="429" t="s">
        <v>398</v>
      </c>
      <c r="P24" s="430">
        <f>1-p_updose_prihos</f>
        <v>1</v>
      </c>
      <c r="Q24" s="429">
        <f>H24*J24*L24*N24*P24</f>
        <v>3.6166666666666665E-3</v>
      </c>
      <c r="S24" s="425">
        <v>1</v>
      </c>
      <c r="U24" s="425">
        <f>ly_notx</f>
        <v>0</v>
      </c>
      <c r="V24" s="425">
        <f>qaly_notx</f>
        <v>0</v>
      </c>
      <c r="W24" s="425">
        <f>daly_notx</f>
        <v>0</v>
      </c>
      <c r="X24" s="425">
        <f>death_notx</f>
        <v>8.9999999999999993E-3</v>
      </c>
      <c r="Y24" s="425">
        <f>custom1_notx</f>
        <v>0.23</v>
      </c>
      <c r="Z24" s="425">
        <f>custom2_notx</f>
        <v>9.1999999999999998E-2</v>
      </c>
      <c r="AA24" s="425">
        <f>custom3_notx</f>
        <v>0</v>
      </c>
      <c r="AB24" s="425">
        <f>custom4_notx</f>
        <v>0</v>
      </c>
      <c r="AD24" s="425">
        <f t="shared" si="4"/>
        <v>0</v>
      </c>
      <c r="AE24" s="425">
        <f t="shared" si="5"/>
        <v>0</v>
      </c>
      <c r="AF24" s="425">
        <f t="shared" si="6"/>
        <v>0</v>
      </c>
      <c r="AG24" s="425">
        <f t="shared" si="7"/>
        <v>3.2549999999999998E-5</v>
      </c>
      <c r="AH24" s="425">
        <f t="shared" si="8"/>
        <v>8.318333333333333E-4</v>
      </c>
      <c r="AI24" s="425">
        <f t="shared" si="9"/>
        <v>3.3273333333333331E-4</v>
      </c>
      <c r="AJ24" s="425">
        <f t="shared" si="10"/>
        <v>0</v>
      </c>
      <c r="AK24" s="425">
        <f t="shared" si="11"/>
        <v>0</v>
      </c>
      <c r="AM24" s="426">
        <f t="shared" si="12"/>
        <v>3616.6666666666665</v>
      </c>
      <c r="AN24" s="425">
        <f t="shared" si="13"/>
        <v>0</v>
      </c>
      <c r="AO24" s="425">
        <f t="shared" si="14"/>
        <v>0</v>
      </c>
      <c r="AP24" s="425">
        <f t="shared" si="15"/>
        <v>0</v>
      </c>
      <c r="AQ24" s="425">
        <f t="shared" si="16"/>
        <v>32.549999999999997</v>
      </c>
      <c r="AR24" s="425">
        <f t="shared" si="17"/>
        <v>831.83333333333326</v>
      </c>
      <c r="AS24" s="425">
        <f t="shared" si="18"/>
        <v>332.73333333333329</v>
      </c>
      <c r="AT24" s="425">
        <f t="shared" si="19"/>
        <v>0</v>
      </c>
      <c r="AU24" s="425">
        <f t="shared" si="20"/>
        <v>0</v>
      </c>
      <c r="AW24" s="423">
        <f>p_f_ad</f>
        <v>0</v>
      </c>
      <c r="AY24" s="419">
        <f t="shared" si="38"/>
        <v>0</v>
      </c>
      <c r="AZ24" s="419">
        <f t="shared" si="39"/>
        <v>258.93</v>
      </c>
      <c r="BA24" s="419">
        <f t="shared" si="40"/>
        <v>849</v>
      </c>
      <c r="BB24" s="419">
        <f t="shared" si="41"/>
        <v>0</v>
      </c>
      <c r="BC24" s="419">
        <f t="shared" si="42"/>
        <v>0</v>
      </c>
      <c r="BE24" s="419">
        <f>wage_rate*sickdays_1_notx</f>
        <v>37.119999999999997</v>
      </c>
      <c r="BF24" s="419">
        <f>wage_rate*sickdays_2_notx</f>
        <v>53.359999999999992</v>
      </c>
      <c r="BG24" s="419">
        <f>wage_rate*sickdays_3_notx</f>
        <v>0</v>
      </c>
      <c r="BH24" s="443">
        <f>wage_rate*sickdays_4_notx</f>
        <v>0</v>
      </c>
    </row>
    <row r="25" spans="2:60" ht="15.5">
      <c r="B25" s="543" t="s">
        <v>29</v>
      </c>
      <c r="C25" s="8"/>
      <c r="D25" s="429" t="str">
        <f t="shared" si="29"/>
        <v>Real world scenario_Seek care_Private location_Pharmacy_Standard Quality</v>
      </c>
      <c r="E25" s="429">
        <f t="shared" si="1"/>
        <v>1000000</v>
      </c>
      <c r="F25" s="429" t="s">
        <v>393</v>
      </c>
      <c r="G25" s="429" t="s">
        <v>371</v>
      </c>
      <c r="H25" s="430">
        <f t="shared" si="2"/>
        <v>0.35</v>
      </c>
      <c r="I25" s="429" t="s">
        <v>402</v>
      </c>
      <c r="J25" s="430">
        <f t="shared" si="43"/>
        <v>0.5</v>
      </c>
      <c r="K25" s="429" t="s">
        <v>403</v>
      </c>
      <c r="L25" s="430">
        <f t="shared" ref="L25:L31" si="48">p_priv_phar</f>
        <v>0.33333333333333331</v>
      </c>
      <c r="M25" s="429" t="s">
        <v>23</v>
      </c>
      <c r="N25" s="430">
        <f>1-(p_p1_privph_ss1+p_p1_privph_ss2+p_p1_privph_f)</f>
        <v>0.83799999999999997</v>
      </c>
      <c r="O25" s="431" t="s">
        <v>396</v>
      </c>
      <c r="P25" s="430"/>
      <c r="Q25" s="429">
        <f>H25*J25*L25*N25</f>
        <v>4.8883333333333327E-2</v>
      </c>
      <c r="S25" s="425">
        <v>1</v>
      </c>
      <c r="U25" s="425">
        <f>ly_tx</f>
        <v>0</v>
      </c>
      <c r="V25" s="425">
        <f>qaly_tx</f>
        <v>0</v>
      </c>
      <c r="W25" s="425">
        <f>daly_tx</f>
        <v>0</v>
      </c>
      <c r="X25" s="425">
        <f>death_tx</f>
        <v>3.0000000000000001E-3</v>
      </c>
      <c r="Y25" s="425">
        <f>custom1_tx</f>
        <v>7.4999999999999997E-2</v>
      </c>
      <c r="Z25" s="425">
        <f>custom2_tx</f>
        <v>0.03</v>
      </c>
      <c r="AA25" s="425">
        <f>custom3_tx</f>
        <v>0</v>
      </c>
      <c r="AB25" s="425">
        <f>custom4_tx</f>
        <v>0</v>
      </c>
      <c r="AD25" s="425">
        <f t="shared" si="4"/>
        <v>0</v>
      </c>
      <c r="AE25" s="425">
        <f t="shared" si="5"/>
        <v>0</v>
      </c>
      <c r="AF25" s="425">
        <f t="shared" si="6"/>
        <v>0</v>
      </c>
      <c r="AG25" s="425">
        <f t="shared" si="7"/>
        <v>1.4664999999999999E-4</v>
      </c>
      <c r="AH25" s="425">
        <f t="shared" si="8"/>
        <v>3.6662499999999994E-3</v>
      </c>
      <c r="AI25" s="425">
        <f t="shared" si="9"/>
        <v>1.4664999999999997E-3</v>
      </c>
      <c r="AJ25" s="425">
        <f t="shared" si="10"/>
        <v>0</v>
      </c>
      <c r="AK25" s="425">
        <f t="shared" si="11"/>
        <v>0</v>
      </c>
      <c r="AM25" s="426">
        <f t="shared" si="12"/>
        <v>48883.333333333328</v>
      </c>
      <c r="AN25" s="425">
        <f t="shared" si="13"/>
        <v>0</v>
      </c>
      <c r="AO25" s="425">
        <f t="shared" si="14"/>
        <v>0</v>
      </c>
      <c r="AP25" s="425">
        <f t="shared" si="15"/>
        <v>0</v>
      </c>
      <c r="AQ25" s="425">
        <f t="shared" si="16"/>
        <v>146.64999999999998</v>
      </c>
      <c r="AR25" s="425">
        <f t="shared" si="17"/>
        <v>3666.2499999999995</v>
      </c>
      <c r="AS25" s="425">
        <f t="shared" si="18"/>
        <v>1466.4999999999998</v>
      </c>
      <c r="AT25" s="425">
        <f t="shared" si="19"/>
        <v>0</v>
      </c>
      <c r="AU25" s="425">
        <f t="shared" si="20"/>
        <v>0</v>
      </c>
      <c r="AW25" s="423">
        <v>0</v>
      </c>
      <c r="AY25" s="419">
        <f t="shared" si="38"/>
        <v>0</v>
      </c>
      <c r="AZ25" s="419">
        <f t="shared" si="39"/>
        <v>258.93</v>
      </c>
      <c r="BA25" s="419">
        <f t="shared" si="40"/>
        <v>849</v>
      </c>
      <c r="BB25" s="419">
        <f t="shared" si="41"/>
        <v>0</v>
      </c>
      <c r="BC25" s="419">
        <f t="shared" si="42"/>
        <v>0</v>
      </c>
      <c r="BE25" s="419">
        <f>wage_rate*sickdays_1_tx</f>
        <v>37.119999999999997</v>
      </c>
      <c r="BF25" s="419">
        <f>wage_rate*sickdays_2_tx</f>
        <v>53.359999999999992</v>
      </c>
      <c r="BG25" s="419">
        <f>wage_rate*sickdays_3_tx</f>
        <v>0</v>
      </c>
      <c r="BH25" s="443">
        <f>wage_rate*sickdays_4_tx</f>
        <v>0</v>
      </c>
    </row>
    <row r="26" spans="2:60" ht="15.5">
      <c r="B26" s="544"/>
      <c r="C26" s="8"/>
      <c r="D26" s="429" t="str">
        <f t="shared" si="29"/>
        <v>Real world scenario_Seek care_Private location_Pharmacy_Substandard Quality1</v>
      </c>
      <c r="E26" s="429">
        <f t="shared" si="1"/>
        <v>1000000</v>
      </c>
      <c r="F26" s="429" t="s">
        <v>393</v>
      </c>
      <c r="G26" s="429" t="s">
        <v>371</v>
      </c>
      <c r="H26" s="430">
        <f t="shared" si="2"/>
        <v>0.35</v>
      </c>
      <c r="I26" s="429" t="s">
        <v>402</v>
      </c>
      <c r="J26" s="430">
        <f t="shared" si="43"/>
        <v>0.5</v>
      </c>
      <c r="K26" s="429" t="s">
        <v>403</v>
      </c>
      <c r="L26" s="430">
        <f t="shared" si="48"/>
        <v>0.33333333333333331</v>
      </c>
      <c r="M26" s="429" t="s">
        <v>397</v>
      </c>
      <c r="N26" s="430">
        <f>p_p1_privph_ss1</f>
        <v>0.1</v>
      </c>
      <c r="O26" s="429" t="s">
        <v>57</v>
      </c>
      <c r="P26" s="430">
        <f>p_updose_priphar</f>
        <v>0</v>
      </c>
      <c r="Q26" s="429">
        <f t="shared" si="24"/>
        <v>0</v>
      </c>
      <c r="S26" s="425">
        <f>total_doses_up_ss1</f>
        <v>0</v>
      </c>
      <c r="U26" s="425">
        <f>ly_tx</f>
        <v>0</v>
      </c>
      <c r="V26" s="425">
        <f>qaly_tx</f>
        <v>0</v>
      </c>
      <c r="W26" s="425">
        <f>daly_tx</f>
        <v>0</v>
      </c>
      <c r="X26" s="425">
        <f>death_tx</f>
        <v>3.0000000000000001E-3</v>
      </c>
      <c r="Y26" s="425">
        <f>custom1_tx</f>
        <v>7.4999999999999997E-2</v>
      </c>
      <c r="Z26" s="425">
        <f>custom2_tx</f>
        <v>0.03</v>
      </c>
      <c r="AA26" s="425">
        <f>custom3_tx</f>
        <v>0</v>
      </c>
      <c r="AB26" s="425">
        <f>custom4_tx</f>
        <v>0</v>
      </c>
      <c r="AD26" s="425">
        <f t="shared" si="4"/>
        <v>0</v>
      </c>
      <c r="AE26" s="425">
        <f t="shared" si="5"/>
        <v>0</v>
      </c>
      <c r="AF26" s="425">
        <f t="shared" si="6"/>
        <v>0</v>
      </c>
      <c r="AG26" s="425">
        <f t="shared" si="7"/>
        <v>0</v>
      </c>
      <c r="AH26" s="425">
        <f t="shared" si="8"/>
        <v>0</v>
      </c>
      <c r="AI26" s="425">
        <f t="shared" si="9"/>
        <v>0</v>
      </c>
      <c r="AJ26" s="425">
        <f t="shared" si="10"/>
        <v>0</v>
      </c>
      <c r="AK26" s="425">
        <f t="shared" si="11"/>
        <v>0</v>
      </c>
      <c r="AM26" s="426">
        <f t="shared" si="12"/>
        <v>0</v>
      </c>
      <c r="AN26" s="425">
        <f t="shared" si="13"/>
        <v>0</v>
      </c>
      <c r="AO26" s="425">
        <f t="shared" si="14"/>
        <v>0</v>
      </c>
      <c r="AP26" s="425">
        <f t="shared" si="15"/>
        <v>0</v>
      </c>
      <c r="AQ26" s="425">
        <f t="shared" si="16"/>
        <v>0</v>
      </c>
      <c r="AR26" s="425">
        <f t="shared" si="17"/>
        <v>0</v>
      </c>
      <c r="AS26" s="425">
        <f t="shared" si="18"/>
        <v>0</v>
      </c>
      <c r="AT26" s="425">
        <f t="shared" si="19"/>
        <v>0</v>
      </c>
      <c r="AU26" s="425">
        <f t="shared" si="20"/>
        <v>0</v>
      </c>
      <c r="AW26" s="423">
        <f>p_ss1_ad</f>
        <v>0</v>
      </c>
      <c r="AY26" s="419">
        <f t="shared" si="38"/>
        <v>0</v>
      </c>
      <c r="AZ26" s="419">
        <f t="shared" si="39"/>
        <v>258.93</v>
      </c>
      <c r="BA26" s="419">
        <f t="shared" si="40"/>
        <v>849</v>
      </c>
      <c r="BB26" s="419">
        <f t="shared" si="41"/>
        <v>0</v>
      </c>
      <c r="BC26" s="419">
        <f t="shared" si="42"/>
        <v>0</v>
      </c>
      <c r="BE26" s="419">
        <f>wage_rate*sickdays_1_tx</f>
        <v>37.119999999999997</v>
      </c>
      <c r="BF26" s="419">
        <f>wage_rate*sickdays_2_tx</f>
        <v>53.359999999999992</v>
      </c>
      <c r="BG26" s="419">
        <f>wage_rate*sickdays_3_tx</f>
        <v>0</v>
      </c>
      <c r="BH26" s="443">
        <f>wage_rate*sickdays_4_tx</f>
        <v>0</v>
      </c>
    </row>
    <row r="27" spans="2:60">
      <c r="B27" s="214"/>
      <c r="C27" s="8"/>
      <c r="D27" s="429" t="str">
        <f t="shared" ref="D27" si="49">_xlfn.CONCAT(F27,"_",G27,"_",I27,"_",K27,"_",M27)</f>
        <v>Real world scenario_Seek care_Private location_Pharmacy_Substandard Quality1</v>
      </c>
      <c r="E27" s="429">
        <f t="shared" si="1"/>
        <v>1000000</v>
      </c>
      <c r="F27" s="429" t="s">
        <v>393</v>
      </c>
      <c r="G27" s="429" t="s">
        <v>371</v>
      </c>
      <c r="H27" s="430">
        <f t="shared" si="2"/>
        <v>0.35</v>
      </c>
      <c r="I27" s="429" t="s">
        <v>402</v>
      </c>
      <c r="J27" s="430">
        <f t="shared" si="43"/>
        <v>0.5</v>
      </c>
      <c r="K27" s="429" t="s">
        <v>403</v>
      </c>
      <c r="L27" s="430">
        <f t="shared" si="48"/>
        <v>0.33333333333333331</v>
      </c>
      <c r="M27" s="429" t="s">
        <v>397</v>
      </c>
      <c r="N27" s="430">
        <f>p_p1_privph_ss1</f>
        <v>0.1</v>
      </c>
      <c r="O27" s="429" t="s">
        <v>398</v>
      </c>
      <c r="P27" s="430">
        <f>1-p_updose_priphar</f>
        <v>1</v>
      </c>
      <c r="Q27" s="429">
        <f t="shared" si="24"/>
        <v>5.8333333333333327E-3</v>
      </c>
      <c r="S27" s="425">
        <v>1</v>
      </c>
      <c r="U27" s="425">
        <f>(ly_tx-ly_notx)*p_txeff_ss1_s+ly_notx</f>
        <v>0</v>
      </c>
      <c r="V27" s="425">
        <f>(qaly_tx-qaly_notx)*p_txeff_ss1_s+qaly_notx</f>
        <v>0</v>
      </c>
      <c r="W27" s="425">
        <f>(daly_tx-daly_notx)*p_txeff_ss1_s+daly_notx</f>
        <v>0</v>
      </c>
      <c r="X27" s="425">
        <f>(death_tx-death_notx)*p_txeff_ss1_s+death_notx</f>
        <v>5.4000000000000003E-3</v>
      </c>
      <c r="Y27" s="425">
        <f>(custom1_tx-custom1_notx)*p_txeff_ss1_s+custom1_notx</f>
        <v>0.13700000000000001</v>
      </c>
      <c r="Z27" s="425">
        <f>(custom2_tx-custom2_notx)*p_txeff_ss1_s+custom2_notx</f>
        <v>5.4800000000000001E-2</v>
      </c>
      <c r="AA27" s="425">
        <f>(custom3_tx-custom3_notx)*p_txeff_ss1_s+custom3_notx</f>
        <v>0</v>
      </c>
      <c r="AB27" s="425">
        <f>(custom4_tx-custom4_notx)*p_txeff_ss1_s+custom4_notx</f>
        <v>0</v>
      </c>
      <c r="AD27" s="425">
        <f t="shared" si="4"/>
        <v>0</v>
      </c>
      <c r="AE27" s="425">
        <f t="shared" si="5"/>
        <v>0</v>
      </c>
      <c r="AF27" s="425">
        <f t="shared" si="6"/>
        <v>0</v>
      </c>
      <c r="AG27" s="425">
        <f t="shared" si="7"/>
        <v>3.15E-5</v>
      </c>
      <c r="AH27" s="425">
        <f t="shared" si="8"/>
        <v>7.9916666666666667E-4</v>
      </c>
      <c r="AI27" s="425">
        <f t="shared" si="9"/>
        <v>3.1966666666666667E-4</v>
      </c>
      <c r="AJ27" s="425">
        <f t="shared" si="10"/>
        <v>0</v>
      </c>
      <c r="AK27" s="425">
        <f t="shared" si="11"/>
        <v>0</v>
      </c>
      <c r="AM27" s="426">
        <f t="shared" si="12"/>
        <v>5833.333333333333</v>
      </c>
      <c r="AN27" s="425">
        <f t="shared" si="13"/>
        <v>0</v>
      </c>
      <c r="AO27" s="425">
        <f t="shared" si="14"/>
        <v>0</v>
      </c>
      <c r="AP27" s="425">
        <f t="shared" si="15"/>
        <v>0</v>
      </c>
      <c r="AQ27" s="425">
        <f t="shared" si="16"/>
        <v>31.5</v>
      </c>
      <c r="AR27" s="425">
        <f t="shared" si="17"/>
        <v>799.16666666666663</v>
      </c>
      <c r="AS27" s="425">
        <f t="shared" si="18"/>
        <v>319.66666666666669</v>
      </c>
      <c r="AT27" s="425">
        <f t="shared" si="19"/>
        <v>0</v>
      </c>
      <c r="AU27" s="425">
        <f t="shared" si="20"/>
        <v>0</v>
      </c>
      <c r="AW27" s="423">
        <f>p_ss1_ad</f>
        <v>0</v>
      </c>
      <c r="AY27" s="419">
        <f t="shared" si="38"/>
        <v>0</v>
      </c>
      <c r="AZ27" s="419">
        <f t="shared" si="39"/>
        <v>258.93</v>
      </c>
      <c r="BA27" s="419">
        <f t="shared" si="40"/>
        <v>849</v>
      </c>
      <c r="BB27" s="419">
        <f t="shared" si="41"/>
        <v>0</v>
      </c>
      <c r="BC27" s="419">
        <f t="shared" si="42"/>
        <v>0</v>
      </c>
      <c r="BE27" s="419">
        <f>wage_rate*((sickdays_1_tx-sickdays_1_notx)*p_txeff_ss1_s+sickdays_1_notx)</f>
        <v>37.119999999999997</v>
      </c>
      <c r="BF27" s="419">
        <f>wage_rate*((sickdays_2_tx-sickdays_2_notx)*p_txeff_ss1_s+sickdays_2_notx)</f>
        <v>53.359999999999992</v>
      </c>
      <c r="BG27" s="419">
        <f>wage_rate*((sickdays_3_tx-sickdays_3_notx)*p_txeff_ss1_s+sickdays_3_notx)</f>
        <v>0</v>
      </c>
      <c r="BH27" s="443">
        <f>wage_rate*((sickdays_4_tx-sickdays_4_notx)*p_txeff_ss1_s+sickdays_4_notx)</f>
        <v>0</v>
      </c>
    </row>
    <row r="28" spans="2:60">
      <c r="B28" s="214"/>
      <c r="C28" s="8"/>
      <c r="D28" s="429" t="str">
        <f t="shared" si="29"/>
        <v>Real world scenario_Seek care_Private location_Pharmacy_Substandard Quality2</v>
      </c>
      <c r="E28" s="429">
        <f t="shared" si="1"/>
        <v>1000000</v>
      </c>
      <c r="F28" s="429" t="s">
        <v>393</v>
      </c>
      <c r="G28" s="429" t="s">
        <v>371</v>
      </c>
      <c r="H28" s="430">
        <f t="shared" si="2"/>
        <v>0.35</v>
      </c>
      <c r="I28" s="429" t="s">
        <v>402</v>
      </c>
      <c r="J28" s="430">
        <f t="shared" si="43"/>
        <v>0.5</v>
      </c>
      <c r="K28" s="429" t="s">
        <v>403</v>
      </c>
      <c r="L28" s="430">
        <f t="shared" si="48"/>
        <v>0.33333333333333331</v>
      </c>
      <c r="M28" s="429" t="s">
        <v>399</v>
      </c>
      <c r="N28" s="430">
        <f>p_p1_privph_ss2</f>
        <v>0</v>
      </c>
      <c r="O28" s="429" t="s">
        <v>57</v>
      </c>
      <c r="P28" s="430">
        <f>p_updose_priphar</f>
        <v>0</v>
      </c>
      <c r="Q28" s="429">
        <f t="shared" si="24"/>
        <v>0</v>
      </c>
      <c r="S28" s="425">
        <f>total_doses_up_ss2</f>
        <v>0</v>
      </c>
      <c r="U28" s="425">
        <f>ly_tx</f>
        <v>0</v>
      </c>
      <c r="V28" s="425">
        <f>qaly_tx</f>
        <v>0</v>
      </c>
      <c r="W28" s="425">
        <f>daly_tx</f>
        <v>0</v>
      </c>
      <c r="X28" s="425">
        <f>death_tx</f>
        <v>3.0000000000000001E-3</v>
      </c>
      <c r="Y28" s="425">
        <f>custom1_tx</f>
        <v>7.4999999999999997E-2</v>
      </c>
      <c r="Z28" s="425">
        <f>custom2_tx</f>
        <v>0.03</v>
      </c>
      <c r="AA28" s="425">
        <f>custom3_tx</f>
        <v>0</v>
      </c>
      <c r="AB28" s="425">
        <f>custom4_tx</f>
        <v>0</v>
      </c>
      <c r="AD28" s="425">
        <f t="shared" si="4"/>
        <v>0</v>
      </c>
      <c r="AE28" s="425">
        <f t="shared" si="5"/>
        <v>0</v>
      </c>
      <c r="AF28" s="425">
        <f t="shared" si="6"/>
        <v>0</v>
      </c>
      <c r="AG28" s="425">
        <f t="shared" si="7"/>
        <v>0</v>
      </c>
      <c r="AH28" s="425">
        <f t="shared" si="8"/>
        <v>0</v>
      </c>
      <c r="AI28" s="425">
        <f t="shared" si="9"/>
        <v>0</v>
      </c>
      <c r="AJ28" s="425">
        <f t="shared" si="10"/>
        <v>0</v>
      </c>
      <c r="AK28" s="425">
        <f t="shared" si="11"/>
        <v>0</v>
      </c>
      <c r="AM28" s="426">
        <f t="shared" si="12"/>
        <v>0</v>
      </c>
      <c r="AN28" s="425">
        <f t="shared" si="13"/>
        <v>0</v>
      </c>
      <c r="AO28" s="425">
        <f t="shared" si="14"/>
        <v>0</v>
      </c>
      <c r="AP28" s="425">
        <f t="shared" si="15"/>
        <v>0</v>
      </c>
      <c r="AQ28" s="425">
        <f t="shared" si="16"/>
        <v>0</v>
      </c>
      <c r="AR28" s="425">
        <f t="shared" si="17"/>
        <v>0</v>
      </c>
      <c r="AS28" s="425">
        <f t="shared" si="18"/>
        <v>0</v>
      </c>
      <c r="AT28" s="425">
        <f t="shared" si="19"/>
        <v>0</v>
      </c>
      <c r="AU28" s="425">
        <f t="shared" si="20"/>
        <v>0</v>
      </c>
      <c r="AW28" s="423">
        <f>p_ss2_ad</f>
        <v>0</v>
      </c>
      <c r="AY28" s="419">
        <f t="shared" si="38"/>
        <v>0</v>
      </c>
      <c r="AZ28" s="419">
        <f t="shared" si="39"/>
        <v>258.93</v>
      </c>
      <c r="BA28" s="419">
        <f t="shared" si="40"/>
        <v>849</v>
      </c>
      <c r="BB28" s="419">
        <f t="shared" si="41"/>
        <v>0</v>
      </c>
      <c r="BC28" s="419">
        <f t="shared" si="42"/>
        <v>0</v>
      </c>
      <c r="BE28" s="419">
        <f>wage_rate*sickdays_1_tx</f>
        <v>37.119999999999997</v>
      </c>
      <c r="BF28" s="419">
        <f>wage_rate*sickdays_2_tx</f>
        <v>53.359999999999992</v>
      </c>
      <c r="BG28" s="419">
        <f>wage_rate*sickdays_3_tx</f>
        <v>0</v>
      </c>
      <c r="BH28" s="443">
        <f>wage_rate*sickdays_4_tx</f>
        <v>0</v>
      </c>
    </row>
    <row r="29" spans="2:60">
      <c r="B29" s="214"/>
      <c r="C29" s="8"/>
      <c r="D29" s="429" t="str">
        <f t="shared" ref="D29" si="50">_xlfn.CONCAT(F29,"_",G29,"_",I29,"_",K29,"_",M29)</f>
        <v>Real world scenario_Seek care_Private location_Pharmacy_Substandard Quality2</v>
      </c>
      <c r="E29" s="429">
        <f t="shared" si="1"/>
        <v>1000000</v>
      </c>
      <c r="F29" s="429" t="s">
        <v>393</v>
      </c>
      <c r="G29" s="429" t="s">
        <v>371</v>
      </c>
      <c r="H29" s="430">
        <f t="shared" si="2"/>
        <v>0.35</v>
      </c>
      <c r="I29" s="429" t="s">
        <v>402</v>
      </c>
      <c r="J29" s="430">
        <f t="shared" si="43"/>
        <v>0.5</v>
      </c>
      <c r="K29" s="429" t="s">
        <v>403</v>
      </c>
      <c r="L29" s="430">
        <f t="shared" si="48"/>
        <v>0.33333333333333331</v>
      </c>
      <c r="M29" s="429" t="s">
        <v>399</v>
      </c>
      <c r="N29" s="430">
        <f>p_p1_privph_ss2</f>
        <v>0</v>
      </c>
      <c r="O29" s="429" t="s">
        <v>398</v>
      </c>
      <c r="P29" s="430">
        <f>1-p_updose_priphar</f>
        <v>1</v>
      </c>
      <c r="Q29" s="429">
        <f t="shared" si="24"/>
        <v>0</v>
      </c>
      <c r="S29" s="425">
        <v>1</v>
      </c>
      <c r="U29" s="425">
        <f>(ly_tx-ly_notx)*p_txeff_ss2_s+ly_notx</f>
        <v>0</v>
      </c>
      <c r="V29" s="425">
        <f>(qaly_tx-qaly_notx)*p_txeff_ss2_s+qaly_notx</f>
        <v>0</v>
      </c>
      <c r="W29" s="425">
        <f>(daly_tx-daly_notx)*p_txeff_ss2_s+daly_notx</f>
        <v>0</v>
      </c>
      <c r="X29" s="425">
        <f>(death_tx-death_notx)*p_txeff_ss2_s+death_notx</f>
        <v>7.1999999999999998E-3</v>
      </c>
      <c r="Y29" s="425">
        <f>(custom1_tx-custom1_notx)*p_txeff_ss2_s+custom1_notx</f>
        <v>0.1835</v>
      </c>
      <c r="Z29" s="425">
        <f>(custom2_tx-custom2_notx)*p_txeff_ss2_s+custom2_notx</f>
        <v>7.3399999999999993E-2</v>
      </c>
      <c r="AA29" s="425">
        <f>(custom3_tx-custom3_notx)*p_txeff_ss2_s+custom3_notx</f>
        <v>0</v>
      </c>
      <c r="AB29" s="425">
        <f>(custom4_tx-custom4_notx)*p_txeff_ss2_s+custom4_notx</f>
        <v>0</v>
      </c>
      <c r="AD29" s="425">
        <f t="shared" si="4"/>
        <v>0</v>
      </c>
      <c r="AE29" s="425">
        <f t="shared" si="5"/>
        <v>0</v>
      </c>
      <c r="AF29" s="425">
        <f t="shared" si="6"/>
        <v>0</v>
      </c>
      <c r="AG29" s="425">
        <f t="shared" si="7"/>
        <v>0</v>
      </c>
      <c r="AH29" s="425">
        <f t="shared" si="8"/>
        <v>0</v>
      </c>
      <c r="AI29" s="425">
        <f t="shared" si="9"/>
        <v>0</v>
      </c>
      <c r="AJ29" s="425">
        <f t="shared" si="10"/>
        <v>0</v>
      </c>
      <c r="AK29" s="425">
        <f t="shared" si="11"/>
        <v>0</v>
      </c>
      <c r="AM29" s="426">
        <f t="shared" si="12"/>
        <v>0</v>
      </c>
      <c r="AN29" s="425">
        <f t="shared" si="13"/>
        <v>0</v>
      </c>
      <c r="AO29" s="425">
        <f t="shared" si="14"/>
        <v>0</v>
      </c>
      <c r="AP29" s="425">
        <f t="shared" si="15"/>
        <v>0</v>
      </c>
      <c r="AQ29" s="425">
        <f t="shared" si="16"/>
        <v>0</v>
      </c>
      <c r="AR29" s="425">
        <f t="shared" si="17"/>
        <v>0</v>
      </c>
      <c r="AS29" s="425">
        <f t="shared" si="18"/>
        <v>0</v>
      </c>
      <c r="AT29" s="425">
        <f t="shared" si="19"/>
        <v>0</v>
      </c>
      <c r="AU29" s="425">
        <f t="shared" si="20"/>
        <v>0</v>
      </c>
      <c r="AW29" s="423">
        <f>p_ss2_ad</f>
        <v>0</v>
      </c>
      <c r="AY29" s="419">
        <f t="shared" si="38"/>
        <v>0</v>
      </c>
      <c r="AZ29" s="419">
        <f t="shared" si="39"/>
        <v>258.93</v>
      </c>
      <c r="BA29" s="419">
        <f t="shared" si="40"/>
        <v>849</v>
      </c>
      <c r="BB29" s="419">
        <f t="shared" si="41"/>
        <v>0</v>
      </c>
      <c r="BC29" s="419">
        <f t="shared" si="42"/>
        <v>0</v>
      </c>
      <c r="BE29" s="419">
        <f>wage_rate*((sickdays_1_tx-sickdays_1_notx)*p_txeff_ss2_s+sickdays_1_notx)</f>
        <v>37.119999999999997</v>
      </c>
      <c r="BF29" s="419">
        <f>wage_rate*((sickdays_2_tx-sickdays_2_notx)*p_txeff_ss2_s+sickdays_2_notx)</f>
        <v>53.359999999999992</v>
      </c>
      <c r="BG29" s="419">
        <f>wage_rate*((sickdays_3_tx-sickdays_3_notx)*p_txeff_ss2_s+sickdays_3_notx)</f>
        <v>0</v>
      </c>
      <c r="BH29" s="443">
        <f>wage_rate*((sickdays_4_tx-sickdays_4_notx)*p_txeff_ss2_s+sickdays_4_notx)</f>
        <v>0</v>
      </c>
    </row>
    <row r="30" spans="2:60">
      <c r="B30" s="214"/>
      <c r="C30" s="8"/>
      <c r="D30" s="429" t="str">
        <f t="shared" si="29"/>
        <v>Real world scenario_Seek care_Private location_Pharmacy_Substandard Quality 3</v>
      </c>
      <c r="E30" s="429">
        <f t="shared" si="1"/>
        <v>1000000</v>
      </c>
      <c r="F30" s="429" t="s">
        <v>393</v>
      </c>
      <c r="G30" s="429" t="s">
        <v>371</v>
      </c>
      <c r="H30" s="430">
        <f t="shared" si="2"/>
        <v>0.35</v>
      </c>
      <c r="I30" s="429" t="s">
        <v>402</v>
      </c>
      <c r="J30" s="430">
        <f t="shared" si="43"/>
        <v>0.5</v>
      </c>
      <c r="K30" s="429" t="s">
        <v>403</v>
      </c>
      <c r="L30" s="430">
        <f t="shared" si="48"/>
        <v>0.33333333333333331</v>
      </c>
      <c r="M30" s="429" t="s">
        <v>400</v>
      </c>
      <c r="N30" s="430">
        <f>p_p1_privph_f</f>
        <v>6.2E-2</v>
      </c>
      <c r="O30" s="429" t="s">
        <v>57</v>
      </c>
      <c r="P30" s="430">
        <f>p_updose_priphar</f>
        <v>0</v>
      </c>
      <c r="Q30" s="429">
        <f>H30*J30*L30*N30*P30</f>
        <v>0</v>
      </c>
      <c r="S30" s="425">
        <f>total_doses_up_f</f>
        <v>0</v>
      </c>
      <c r="U30" s="425">
        <f>ly_tx</f>
        <v>0</v>
      </c>
      <c r="V30" s="425">
        <f>qaly_tx</f>
        <v>0</v>
      </c>
      <c r="W30" s="425">
        <f>daly_tx</f>
        <v>0</v>
      </c>
      <c r="X30" s="425">
        <f>death_tx</f>
        <v>3.0000000000000001E-3</v>
      </c>
      <c r="Y30" s="425">
        <f>custom1_tx</f>
        <v>7.4999999999999997E-2</v>
      </c>
      <c r="Z30" s="425">
        <f>custom2_tx</f>
        <v>0.03</v>
      </c>
      <c r="AA30" s="425">
        <f>custom3_tx</f>
        <v>0</v>
      </c>
      <c r="AB30" s="425">
        <f>custom4_tx</f>
        <v>0</v>
      </c>
      <c r="AD30" s="425">
        <f t="shared" si="4"/>
        <v>0</v>
      </c>
      <c r="AE30" s="425">
        <f t="shared" si="5"/>
        <v>0</v>
      </c>
      <c r="AF30" s="425">
        <f t="shared" si="6"/>
        <v>0</v>
      </c>
      <c r="AG30" s="425">
        <f t="shared" si="7"/>
        <v>0</v>
      </c>
      <c r="AH30" s="425">
        <f t="shared" si="8"/>
        <v>0</v>
      </c>
      <c r="AI30" s="425">
        <f t="shared" si="9"/>
        <v>0</v>
      </c>
      <c r="AJ30" s="425">
        <f t="shared" si="10"/>
        <v>0</v>
      </c>
      <c r="AK30" s="425">
        <f t="shared" si="11"/>
        <v>0</v>
      </c>
      <c r="AM30" s="426">
        <f t="shared" si="12"/>
        <v>0</v>
      </c>
      <c r="AN30" s="425">
        <f t="shared" si="13"/>
        <v>0</v>
      </c>
      <c r="AO30" s="425">
        <f t="shared" si="14"/>
        <v>0</v>
      </c>
      <c r="AP30" s="425">
        <f t="shared" si="15"/>
        <v>0</v>
      </c>
      <c r="AQ30" s="425">
        <f t="shared" si="16"/>
        <v>0</v>
      </c>
      <c r="AR30" s="425">
        <f t="shared" si="17"/>
        <v>0</v>
      </c>
      <c r="AS30" s="425">
        <f t="shared" si="18"/>
        <v>0</v>
      </c>
      <c r="AT30" s="425">
        <f t="shared" si="19"/>
        <v>0</v>
      </c>
      <c r="AU30" s="425">
        <f t="shared" si="20"/>
        <v>0</v>
      </c>
      <c r="AW30" s="423">
        <f>p_f_ad</f>
        <v>0</v>
      </c>
      <c r="AY30" s="419">
        <f t="shared" si="38"/>
        <v>0</v>
      </c>
      <c r="AZ30" s="419">
        <f t="shared" si="39"/>
        <v>258.93</v>
      </c>
      <c r="BA30" s="419">
        <f t="shared" si="40"/>
        <v>849</v>
      </c>
      <c r="BB30" s="419">
        <f t="shared" si="41"/>
        <v>0</v>
      </c>
      <c r="BC30" s="419">
        <f t="shared" si="42"/>
        <v>0</v>
      </c>
      <c r="BE30" s="419">
        <f>wage_rate*sickdays_1_tx</f>
        <v>37.119999999999997</v>
      </c>
      <c r="BF30" s="419">
        <f>wage_rate*sickdays_2_tx</f>
        <v>53.359999999999992</v>
      </c>
      <c r="BG30" s="419">
        <f>wage_rate*sickdays_3_tx</f>
        <v>0</v>
      </c>
      <c r="BH30" s="443">
        <f>wage_rate*sickdays_4_tx</f>
        <v>0</v>
      </c>
    </row>
    <row r="31" spans="2:60">
      <c r="B31" s="214"/>
      <c r="C31" s="8"/>
      <c r="D31" s="429" t="str">
        <f t="shared" ref="D31" si="51">_xlfn.CONCAT(F31,"_",G31,"_",I31,"_",K31,"_",M31)</f>
        <v>Real world scenario_Seek care_Private location_Pharmacy_Substandard Quality 3</v>
      </c>
      <c r="E31" s="429">
        <f t="shared" si="1"/>
        <v>1000000</v>
      </c>
      <c r="F31" s="429" t="s">
        <v>393</v>
      </c>
      <c r="G31" s="429" t="s">
        <v>371</v>
      </c>
      <c r="H31" s="430">
        <f t="shared" si="2"/>
        <v>0.35</v>
      </c>
      <c r="I31" s="429" t="s">
        <v>402</v>
      </c>
      <c r="J31" s="430">
        <f t="shared" si="43"/>
        <v>0.5</v>
      </c>
      <c r="K31" s="429" t="s">
        <v>403</v>
      </c>
      <c r="L31" s="430">
        <f t="shared" si="48"/>
        <v>0.33333333333333331</v>
      </c>
      <c r="M31" s="429" t="s">
        <v>400</v>
      </c>
      <c r="N31" s="430">
        <f>p_p1_privph_f</f>
        <v>6.2E-2</v>
      </c>
      <c r="O31" s="429" t="s">
        <v>398</v>
      </c>
      <c r="P31" s="430">
        <f>1-p_updose_priphar</f>
        <v>1</v>
      </c>
      <c r="Q31" s="429">
        <f>H31*J31*L31*N31*P31</f>
        <v>3.6166666666666665E-3</v>
      </c>
      <c r="S31" s="425">
        <v>1</v>
      </c>
      <c r="U31" s="425">
        <f>ly_notx</f>
        <v>0</v>
      </c>
      <c r="V31" s="425">
        <f>qaly_notx</f>
        <v>0</v>
      </c>
      <c r="W31" s="425">
        <f>daly_notx</f>
        <v>0</v>
      </c>
      <c r="X31" s="425">
        <f>death_notx</f>
        <v>8.9999999999999993E-3</v>
      </c>
      <c r="Y31" s="425">
        <f>custom1_notx</f>
        <v>0.23</v>
      </c>
      <c r="Z31" s="425">
        <f>custom2_notx</f>
        <v>9.1999999999999998E-2</v>
      </c>
      <c r="AA31" s="425">
        <f>custom3_notx</f>
        <v>0</v>
      </c>
      <c r="AB31" s="425">
        <f>custom4_notx</f>
        <v>0</v>
      </c>
      <c r="AD31" s="425">
        <f t="shared" si="4"/>
        <v>0</v>
      </c>
      <c r="AE31" s="425">
        <f t="shared" si="5"/>
        <v>0</v>
      </c>
      <c r="AF31" s="425">
        <f t="shared" si="6"/>
        <v>0</v>
      </c>
      <c r="AG31" s="425">
        <f t="shared" si="7"/>
        <v>3.2549999999999998E-5</v>
      </c>
      <c r="AH31" s="425">
        <f t="shared" si="8"/>
        <v>8.318333333333333E-4</v>
      </c>
      <c r="AI31" s="425">
        <f t="shared" si="9"/>
        <v>3.3273333333333331E-4</v>
      </c>
      <c r="AJ31" s="425">
        <f t="shared" si="10"/>
        <v>0</v>
      </c>
      <c r="AK31" s="425">
        <f t="shared" si="11"/>
        <v>0</v>
      </c>
      <c r="AM31" s="426">
        <f t="shared" si="12"/>
        <v>3616.6666666666665</v>
      </c>
      <c r="AN31" s="425">
        <f t="shared" si="13"/>
        <v>0</v>
      </c>
      <c r="AO31" s="425">
        <f t="shared" si="14"/>
        <v>0</v>
      </c>
      <c r="AP31" s="425">
        <f t="shared" si="15"/>
        <v>0</v>
      </c>
      <c r="AQ31" s="425">
        <f t="shared" si="16"/>
        <v>32.549999999999997</v>
      </c>
      <c r="AR31" s="425">
        <f t="shared" si="17"/>
        <v>831.83333333333326</v>
      </c>
      <c r="AS31" s="425">
        <f t="shared" si="18"/>
        <v>332.73333333333329</v>
      </c>
      <c r="AT31" s="425">
        <f t="shared" si="19"/>
        <v>0</v>
      </c>
      <c r="AU31" s="425">
        <f t="shared" si="20"/>
        <v>0</v>
      </c>
      <c r="AW31" s="423">
        <f>p_f_ad</f>
        <v>0</v>
      </c>
      <c r="AY31" s="419">
        <f t="shared" si="38"/>
        <v>0</v>
      </c>
      <c r="AZ31" s="419">
        <f t="shared" si="39"/>
        <v>258.93</v>
      </c>
      <c r="BA31" s="419">
        <f t="shared" si="40"/>
        <v>849</v>
      </c>
      <c r="BB31" s="419">
        <f t="shared" si="41"/>
        <v>0</v>
      </c>
      <c r="BC31" s="419">
        <f t="shared" si="42"/>
        <v>0</v>
      </c>
      <c r="BE31" s="419">
        <f>wage_rate*sickdays_1_notx</f>
        <v>37.119999999999997</v>
      </c>
      <c r="BF31" s="419">
        <f>wage_rate*sickdays_2_notx</f>
        <v>53.359999999999992</v>
      </c>
      <c r="BG31" s="419">
        <f>wage_rate*sickdays_3_notx</f>
        <v>0</v>
      </c>
      <c r="BH31" s="443">
        <f>wage_rate*sickdays_4_notx</f>
        <v>0</v>
      </c>
    </row>
    <row r="32" spans="2:60">
      <c r="B32" s="214"/>
      <c r="C32" s="8"/>
      <c r="D32" s="429" t="str">
        <f t="shared" si="29"/>
        <v>Real world scenario_Seek care_Private location_Other_Standard Quality</v>
      </c>
      <c r="E32" s="429">
        <f t="shared" si="1"/>
        <v>1000000</v>
      </c>
      <c r="F32" s="429" t="s">
        <v>393</v>
      </c>
      <c r="G32" s="429" t="s">
        <v>371</v>
      </c>
      <c r="H32" s="430">
        <f t="shared" si="2"/>
        <v>0.35</v>
      </c>
      <c r="I32" s="429" t="s">
        <v>402</v>
      </c>
      <c r="J32" s="430">
        <f t="shared" si="43"/>
        <v>0.5</v>
      </c>
      <c r="K32" s="429" t="s">
        <v>59</v>
      </c>
      <c r="L32" s="430">
        <f t="shared" ref="L32:L38" si="52">p_priv_other</f>
        <v>0.33333333333333331</v>
      </c>
      <c r="M32" s="429" t="s">
        <v>23</v>
      </c>
      <c r="N32" s="430">
        <f>1-(p_p1_privo_ss1+p_p1_privo_ss2+p_p1_privo_f)</f>
        <v>0.83799999999999997</v>
      </c>
      <c r="O32" s="431" t="s">
        <v>396</v>
      </c>
      <c r="P32" s="430"/>
      <c r="Q32" s="429">
        <f>H32*J32*L32*N32</f>
        <v>4.8883333333333327E-2</v>
      </c>
      <c r="S32" s="425">
        <v>1</v>
      </c>
      <c r="U32" s="425">
        <f>ly_tx</f>
        <v>0</v>
      </c>
      <c r="V32" s="425">
        <f>qaly_tx</f>
        <v>0</v>
      </c>
      <c r="W32" s="425">
        <f>daly_tx</f>
        <v>0</v>
      </c>
      <c r="X32" s="425">
        <f>death_tx</f>
        <v>3.0000000000000001E-3</v>
      </c>
      <c r="Y32" s="425">
        <f>custom1_tx</f>
        <v>7.4999999999999997E-2</v>
      </c>
      <c r="Z32" s="425">
        <f>custom2_tx</f>
        <v>0.03</v>
      </c>
      <c r="AA32" s="425">
        <f>custom3_tx</f>
        <v>0</v>
      </c>
      <c r="AB32" s="425">
        <f>custom4_tx</f>
        <v>0</v>
      </c>
      <c r="AD32" s="425">
        <f t="shared" si="4"/>
        <v>0</v>
      </c>
      <c r="AE32" s="425">
        <f t="shared" si="5"/>
        <v>0</v>
      </c>
      <c r="AF32" s="425">
        <f t="shared" si="6"/>
        <v>0</v>
      </c>
      <c r="AG32" s="425">
        <f t="shared" si="7"/>
        <v>1.4664999999999999E-4</v>
      </c>
      <c r="AH32" s="425">
        <f t="shared" si="8"/>
        <v>3.6662499999999994E-3</v>
      </c>
      <c r="AI32" s="425">
        <f t="shared" si="9"/>
        <v>1.4664999999999997E-3</v>
      </c>
      <c r="AJ32" s="425">
        <f t="shared" si="10"/>
        <v>0</v>
      </c>
      <c r="AK32" s="425">
        <f t="shared" si="11"/>
        <v>0</v>
      </c>
      <c r="AM32" s="426">
        <f t="shared" si="12"/>
        <v>48883.333333333328</v>
      </c>
      <c r="AN32" s="425">
        <f t="shared" si="13"/>
        <v>0</v>
      </c>
      <c r="AO32" s="425">
        <f t="shared" si="14"/>
        <v>0</v>
      </c>
      <c r="AP32" s="425">
        <f t="shared" si="15"/>
        <v>0</v>
      </c>
      <c r="AQ32" s="425">
        <f t="shared" si="16"/>
        <v>146.64999999999998</v>
      </c>
      <c r="AR32" s="425">
        <f t="shared" si="17"/>
        <v>3666.2499999999995</v>
      </c>
      <c r="AS32" s="425">
        <f t="shared" si="18"/>
        <v>1466.4999999999998</v>
      </c>
      <c r="AT32" s="425">
        <f t="shared" si="19"/>
        <v>0</v>
      </c>
      <c r="AU32" s="425">
        <f t="shared" si="20"/>
        <v>0</v>
      </c>
      <c r="AW32" s="423">
        <v>0</v>
      </c>
      <c r="AY32" s="419">
        <f t="shared" si="38"/>
        <v>0</v>
      </c>
      <c r="AZ32" s="419">
        <f t="shared" si="39"/>
        <v>258.93</v>
      </c>
      <c r="BA32" s="419">
        <f t="shared" si="40"/>
        <v>849</v>
      </c>
      <c r="BB32" s="419">
        <f t="shared" si="41"/>
        <v>0</v>
      </c>
      <c r="BC32" s="419">
        <f t="shared" si="42"/>
        <v>0</v>
      </c>
      <c r="BE32" s="419">
        <f>wage_rate*sickdays_1_tx</f>
        <v>37.119999999999997</v>
      </c>
      <c r="BF32" s="419">
        <f>wage_rate*sickdays_2_tx</f>
        <v>53.359999999999992</v>
      </c>
      <c r="BG32" s="419">
        <f>wage_rate*sickdays_3_tx</f>
        <v>0</v>
      </c>
      <c r="BH32" s="443">
        <f>wage_rate*sickdays_4_tx</f>
        <v>0</v>
      </c>
    </row>
    <row r="33" spans="1:651">
      <c r="B33" s="214"/>
      <c r="C33" s="8"/>
      <c r="D33" s="429" t="str">
        <f t="shared" si="29"/>
        <v>Real world scenario_Seek care_Private location_Other_Substandard Quality1</v>
      </c>
      <c r="E33" s="429">
        <f t="shared" si="1"/>
        <v>1000000</v>
      </c>
      <c r="F33" s="429" t="s">
        <v>393</v>
      </c>
      <c r="G33" s="429" t="s">
        <v>371</v>
      </c>
      <c r="H33" s="430">
        <f t="shared" si="2"/>
        <v>0.35</v>
      </c>
      <c r="I33" s="429" t="s">
        <v>402</v>
      </c>
      <c r="J33" s="430">
        <f t="shared" si="43"/>
        <v>0.5</v>
      </c>
      <c r="K33" s="429" t="s">
        <v>59</v>
      </c>
      <c r="L33" s="430">
        <f t="shared" si="52"/>
        <v>0.33333333333333331</v>
      </c>
      <c r="M33" s="429" t="s">
        <v>397</v>
      </c>
      <c r="N33" s="430">
        <f>p_p1_privo_ss1</f>
        <v>0.1</v>
      </c>
      <c r="O33" s="429" t="s">
        <v>57</v>
      </c>
      <c r="P33" s="430">
        <f>p_updose_privother</f>
        <v>0</v>
      </c>
      <c r="Q33" s="429">
        <f t="shared" si="24"/>
        <v>0</v>
      </c>
      <c r="S33" s="425">
        <f>total_doses_up_ss1</f>
        <v>0</v>
      </c>
      <c r="U33" s="425">
        <f>ly_tx</f>
        <v>0</v>
      </c>
      <c r="V33" s="425">
        <f>qaly_tx</f>
        <v>0</v>
      </c>
      <c r="W33" s="425">
        <f>daly_tx</f>
        <v>0</v>
      </c>
      <c r="X33" s="425">
        <f>death_tx</f>
        <v>3.0000000000000001E-3</v>
      </c>
      <c r="Y33" s="425">
        <f>custom1_tx</f>
        <v>7.4999999999999997E-2</v>
      </c>
      <c r="Z33" s="425">
        <f>custom2_tx</f>
        <v>0.03</v>
      </c>
      <c r="AA33" s="425">
        <f>custom3_tx</f>
        <v>0</v>
      </c>
      <c r="AB33" s="425">
        <f>custom4_tx</f>
        <v>0</v>
      </c>
      <c r="AD33" s="425">
        <f t="shared" si="4"/>
        <v>0</v>
      </c>
      <c r="AE33" s="425">
        <f t="shared" si="5"/>
        <v>0</v>
      </c>
      <c r="AF33" s="425">
        <f t="shared" si="6"/>
        <v>0</v>
      </c>
      <c r="AG33" s="425">
        <f t="shared" si="7"/>
        <v>0</v>
      </c>
      <c r="AH33" s="425">
        <f t="shared" si="8"/>
        <v>0</v>
      </c>
      <c r="AI33" s="425">
        <f t="shared" si="9"/>
        <v>0</v>
      </c>
      <c r="AJ33" s="425">
        <f t="shared" si="10"/>
        <v>0</v>
      </c>
      <c r="AK33" s="425">
        <f t="shared" si="11"/>
        <v>0</v>
      </c>
      <c r="AM33" s="426">
        <f t="shared" si="12"/>
        <v>0</v>
      </c>
      <c r="AN33" s="425">
        <f t="shared" si="13"/>
        <v>0</v>
      </c>
      <c r="AO33" s="425">
        <f t="shared" si="14"/>
        <v>0</v>
      </c>
      <c r="AP33" s="425">
        <f t="shared" si="15"/>
        <v>0</v>
      </c>
      <c r="AQ33" s="425">
        <f t="shared" si="16"/>
        <v>0</v>
      </c>
      <c r="AR33" s="425">
        <f t="shared" si="17"/>
        <v>0</v>
      </c>
      <c r="AS33" s="425">
        <f t="shared" si="18"/>
        <v>0</v>
      </c>
      <c r="AT33" s="425">
        <f t="shared" si="19"/>
        <v>0</v>
      </c>
      <c r="AU33" s="425">
        <f t="shared" si="20"/>
        <v>0</v>
      </c>
      <c r="AW33" s="423">
        <f>p_ss1_ad</f>
        <v>0</v>
      </c>
      <c r="AY33" s="419">
        <f t="shared" si="38"/>
        <v>0</v>
      </c>
      <c r="AZ33" s="419">
        <f t="shared" si="39"/>
        <v>258.93</v>
      </c>
      <c r="BA33" s="419">
        <f t="shared" si="40"/>
        <v>849</v>
      </c>
      <c r="BB33" s="419">
        <f t="shared" si="41"/>
        <v>0</v>
      </c>
      <c r="BC33" s="419">
        <f t="shared" si="42"/>
        <v>0</v>
      </c>
      <c r="BE33" s="419">
        <f>wage_rate*sickdays_1_tx</f>
        <v>37.119999999999997</v>
      </c>
      <c r="BF33" s="419">
        <f>wage_rate*sickdays_2_tx</f>
        <v>53.359999999999992</v>
      </c>
      <c r="BG33" s="419">
        <f>wage_rate*sickdays_3_tx</f>
        <v>0</v>
      </c>
      <c r="BH33" s="443">
        <f>wage_rate*sickdays_4_tx</f>
        <v>0</v>
      </c>
    </row>
    <row r="34" spans="1:651">
      <c r="B34" s="214"/>
      <c r="C34" s="8"/>
      <c r="D34" s="429" t="str">
        <f t="shared" ref="D34" si="53">_xlfn.CONCAT(F34,"_",G34,"_",I34,"_",K34,"_",M34)</f>
        <v>Real world scenario_Seek care_Private location_Other_Substandard Quality1</v>
      </c>
      <c r="E34" s="429">
        <f t="shared" si="1"/>
        <v>1000000</v>
      </c>
      <c r="F34" s="429" t="s">
        <v>393</v>
      </c>
      <c r="G34" s="429" t="s">
        <v>371</v>
      </c>
      <c r="H34" s="430">
        <f t="shared" si="2"/>
        <v>0.35</v>
      </c>
      <c r="I34" s="429" t="s">
        <v>402</v>
      </c>
      <c r="J34" s="430">
        <f t="shared" si="43"/>
        <v>0.5</v>
      </c>
      <c r="K34" s="429" t="s">
        <v>59</v>
      </c>
      <c r="L34" s="430">
        <f t="shared" si="52"/>
        <v>0.33333333333333331</v>
      </c>
      <c r="M34" s="429" t="s">
        <v>397</v>
      </c>
      <c r="N34" s="430">
        <f>p_p1_privo_ss1</f>
        <v>0.1</v>
      </c>
      <c r="O34" s="429" t="s">
        <v>398</v>
      </c>
      <c r="P34" s="430">
        <f>1-p_updose_privother</f>
        <v>1</v>
      </c>
      <c r="Q34" s="429">
        <f t="shared" si="24"/>
        <v>5.8333333333333327E-3</v>
      </c>
      <c r="S34" s="425">
        <v>1</v>
      </c>
      <c r="U34" s="425">
        <f>(ly_tx-ly_notx)*p_txeff_ss1_s+ly_notx</f>
        <v>0</v>
      </c>
      <c r="V34" s="425">
        <f>(qaly_tx-qaly_notx)*p_txeff_ss1_s+qaly_notx</f>
        <v>0</v>
      </c>
      <c r="W34" s="425">
        <f>(daly_tx-daly_notx)*p_txeff_ss1_s+daly_notx</f>
        <v>0</v>
      </c>
      <c r="X34" s="425">
        <f>(death_tx-death_notx)*p_txeff_ss1_s+death_notx</f>
        <v>5.4000000000000003E-3</v>
      </c>
      <c r="Y34" s="425">
        <f>(custom1_tx-custom1_notx)*p_txeff_ss1_s+custom1_notx</f>
        <v>0.13700000000000001</v>
      </c>
      <c r="Z34" s="425">
        <f>(custom2_tx-custom2_notx)*p_txeff_ss1_s+custom2_notx</f>
        <v>5.4800000000000001E-2</v>
      </c>
      <c r="AA34" s="425">
        <f>(custom3_tx-custom3_notx)*p_txeff_ss1_s+custom3_notx</f>
        <v>0</v>
      </c>
      <c r="AB34" s="425">
        <f>(custom4_tx-custom4_notx)*p_txeff_ss1_s+custom4_notx</f>
        <v>0</v>
      </c>
      <c r="AD34" s="425">
        <f t="shared" si="4"/>
        <v>0</v>
      </c>
      <c r="AE34" s="425">
        <f t="shared" si="5"/>
        <v>0</v>
      </c>
      <c r="AF34" s="425">
        <f t="shared" si="6"/>
        <v>0</v>
      </c>
      <c r="AG34" s="425">
        <f t="shared" si="7"/>
        <v>3.15E-5</v>
      </c>
      <c r="AH34" s="425">
        <f t="shared" si="8"/>
        <v>7.9916666666666667E-4</v>
      </c>
      <c r="AI34" s="425">
        <f t="shared" si="9"/>
        <v>3.1966666666666667E-4</v>
      </c>
      <c r="AJ34" s="425">
        <f t="shared" si="10"/>
        <v>0</v>
      </c>
      <c r="AK34" s="425">
        <f t="shared" si="11"/>
        <v>0</v>
      </c>
      <c r="AM34" s="426">
        <f t="shared" si="12"/>
        <v>5833.333333333333</v>
      </c>
      <c r="AN34" s="425">
        <f t="shared" si="13"/>
        <v>0</v>
      </c>
      <c r="AO34" s="425">
        <f t="shared" si="14"/>
        <v>0</v>
      </c>
      <c r="AP34" s="425">
        <f t="shared" si="15"/>
        <v>0</v>
      </c>
      <c r="AQ34" s="425">
        <f t="shared" si="16"/>
        <v>31.5</v>
      </c>
      <c r="AR34" s="425">
        <f t="shared" si="17"/>
        <v>799.16666666666663</v>
      </c>
      <c r="AS34" s="425">
        <f t="shared" si="18"/>
        <v>319.66666666666669</v>
      </c>
      <c r="AT34" s="425">
        <f t="shared" si="19"/>
        <v>0</v>
      </c>
      <c r="AU34" s="425">
        <f t="shared" si="20"/>
        <v>0</v>
      </c>
      <c r="AW34" s="423">
        <f>p_ss1_ad</f>
        <v>0</v>
      </c>
      <c r="AY34" s="419">
        <f t="shared" si="38"/>
        <v>0</v>
      </c>
      <c r="AZ34" s="419">
        <f t="shared" si="39"/>
        <v>258.93</v>
      </c>
      <c r="BA34" s="419">
        <f t="shared" si="40"/>
        <v>849</v>
      </c>
      <c r="BB34" s="419">
        <f t="shared" si="41"/>
        <v>0</v>
      </c>
      <c r="BC34" s="419">
        <f t="shared" si="42"/>
        <v>0</v>
      </c>
      <c r="BE34" s="419">
        <f>wage_rate*((sickdays_1_tx-sickdays_1_notx)*p_txeff_ss1_s+sickdays_1_notx)</f>
        <v>37.119999999999997</v>
      </c>
      <c r="BF34" s="419">
        <f>wage_rate*((sickdays_2_tx-sickdays_2_notx)*p_txeff_ss1_s+sickdays_2_notx)</f>
        <v>53.359999999999992</v>
      </c>
      <c r="BG34" s="419">
        <f>wage_rate*((sickdays_3_tx-sickdays_3_notx)*p_txeff_ss1_s+sickdays_3_notx)</f>
        <v>0</v>
      </c>
      <c r="BH34" s="443">
        <f>wage_rate*((sickdays_4_tx-sickdays_4_notx)*p_txeff_ss1_s+sickdays_4_notx)</f>
        <v>0</v>
      </c>
    </row>
    <row r="35" spans="1:651">
      <c r="B35" s="206"/>
      <c r="C35" s="8"/>
      <c r="D35" s="429" t="str">
        <f t="shared" si="29"/>
        <v>Real world scenario_Seek care_Private location_Other_Substandard Quality2</v>
      </c>
      <c r="E35" s="429">
        <f t="shared" si="1"/>
        <v>1000000</v>
      </c>
      <c r="F35" s="429" t="s">
        <v>393</v>
      </c>
      <c r="G35" s="429" t="s">
        <v>371</v>
      </c>
      <c r="H35" s="430">
        <f t="shared" si="2"/>
        <v>0.35</v>
      </c>
      <c r="I35" s="429" t="s">
        <v>402</v>
      </c>
      <c r="J35" s="430">
        <f t="shared" si="43"/>
        <v>0.5</v>
      </c>
      <c r="K35" s="429" t="s">
        <v>59</v>
      </c>
      <c r="L35" s="430">
        <f t="shared" si="52"/>
        <v>0.33333333333333331</v>
      </c>
      <c r="M35" s="429" t="s">
        <v>399</v>
      </c>
      <c r="N35" s="430">
        <f>p_p1_privo_ss2</f>
        <v>0</v>
      </c>
      <c r="O35" s="429" t="s">
        <v>57</v>
      </c>
      <c r="P35" s="430">
        <f>p_updose_privother</f>
        <v>0</v>
      </c>
      <c r="Q35" s="429">
        <f t="shared" si="24"/>
        <v>0</v>
      </c>
      <c r="S35" s="425">
        <f>total_doses_up_ss2</f>
        <v>0</v>
      </c>
      <c r="U35" s="425">
        <f>ly_tx</f>
        <v>0</v>
      </c>
      <c r="V35" s="425">
        <f>qaly_tx</f>
        <v>0</v>
      </c>
      <c r="W35" s="425">
        <f>daly_tx</f>
        <v>0</v>
      </c>
      <c r="X35" s="425">
        <f>death_tx</f>
        <v>3.0000000000000001E-3</v>
      </c>
      <c r="Y35" s="425">
        <f>custom1_tx</f>
        <v>7.4999999999999997E-2</v>
      </c>
      <c r="Z35" s="425">
        <f>custom2_tx</f>
        <v>0.03</v>
      </c>
      <c r="AA35" s="425">
        <f>custom3_tx</f>
        <v>0</v>
      </c>
      <c r="AB35" s="425">
        <f>custom4_tx</f>
        <v>0</v>
      </c>
      <c r="AD35" s="425">
        <f t="shared" si="4"/>
        <v>0</v>
      </c>
      <c r="AE35" s="425">
        <f t="shared" si="5"/>
        <v>0</v>
      </c>
      <c r="AF35" s="425">
        <f t="shared" si="6"/>
        <v>0</v>
      </c>
      <c r="AG35" s="425">
        <f t="shared" si="7"/>
        <v>0</v>
      </c>
      <c r="AH35" s="425">
        <f t="shared" si="8"/>
        <v>0</v>
      </c>
      <c r="AI35" s="425">
        <f t="shared" si="9"/>
        <v>0</v>
      </c>
      <c r="AJ35" s="425">
        <f t="shared" si="10"/>
        <v>0</v>
      </c>
      <c r="AK35" s="425">
        <f t="shared" si="11"/>
        <v>0</v>
      </c>
      <c r="AM35" s="426">
        <f t="shared" si="12"/>
        <v>0</v>
      </c>
      <c r="AN35" s="425">
        <f t="shared" si="13"/>
        <v>0</v>
      </c>
      <c r="AO35" s="425">
        <f t="shared" si="14"/>
        <v>0</v>
      </c>
      <c r="AP35" s="425">
        <f t="shared" si="15"/>
        <v>0</v>
      </c>
      <c r="AQ35" s="425">
        <f t="shared" si="16"/>
        <v>0</v>
      </c>
      <c r="AR35" s="425">
        <f t="shared" si="17"/>
        <v>0</v>
      </c>
      <c r="AS35" s="425">
        <f t="shared" si="18"/>
        <v>0</v>
      </c>
      <c r="AT35" s="425">
        <f t="shared" si="19"/>
        <v>0</v>
      </c>
      <c r="AU35" s="425">
        <f t="shared" si="20"/>
        <v>0</v>
      </c>
      <c r="AW35" s="423">
        <f>p_ss2_ad</f>
        <v>0</v>
      </c>
      <c r="AY35" s="419">
        <f t="shared" si="38"/>
        <v>0</v>
      </c>
      <c r="AZ35" s="419">
        <f t="shared" si="39"/>
        <v>258.93</v>
      </c>
      <c r="BA35" s="419">
        <f t="shared" si="40"/>
        <v>849</v>
      </c>
      <c r="BB35" s="419">
        <f t="shared" si="41"/>
        <v>0</v>
      </c>
      <c r="BC35" s="419">
        <f t="shared" si="42"/>
        <v>0</v>
      </c>
      <c r="BE35" s="419">
        <f>wage_rate*sickdays_1_tx</f>
        <v>37.119999999999997</v>
      </c>
      <c r="BF35" s="419">
        <f>wage_rate*sickdays_2_tx</f>
        <v>53.359999999999992</v>
      </c>
      <c r="BG35" s="419">
        <f>wage_rate*sickdays_3_tx</f>
        <v>0</v>
      </c>
      <c r="BH35" s="443">
        <f>wage_rate*sickdays_4_tx</f>
        <v>0</v>
      </c>
    </row>
    <row r="36" spans="1:651">
      <c r="B36" s="206"/>
      <c r="C36" s="8"/>
      <c r="D36" s="429" t="str">
        <f t="shared" ref="D36" si="54">_xlfn.CONCAT(F36,"_",G36,"_",I36,"_",K36,"_",M36)</f>
        <v>Real world scenario_Seek care_Private location_Other_Substandard Quality2</v>
      </c>
      <c r="E36" s="429">
        <f t="shared" si="1"/>
        <v>1000000</v>
      </c>
      <c r="F36" s="429" t="s">
        <v>393</v>
      </c>
      <c r="G36" s="429" t="s">
        <v>371</v>
      </c>
      <c r="H36" s="430">
        <f t="shared" si="2"/>
        <v>0.35</v>
      </c>
      <c r="I36" s="429" t="s">
        <v>402</v>
      </c>
      <c r="J36" s="430">
        <f t="shared" si="43"/>
        <v>0.5</v>
      </c>
      <c r="K36" s="429" t="s">
        <v>59</v>
      </c>
      <c r="L36" s="430">
        <f t="shared" si="52"/>
        <v>0.33333333333333331</v>
      </c>
      <c r="M36" s="429" t="s">
        <v>399</v>
      </c>
      <c r="N36" s="430">
        <f>p_p1_privo_ss2</f>
        <v>0</v>
      </c>
      <c r="O36" s="429" t="s">
        <v>398</v>
      </c>
      <c r="P36" s="430">
        <f>1-p_updose_privother</f>
        <v>1</v>
      </c>
      <c r="Q36" s="429">
        <f t="shared" si="24"/>
        <v>0</v>
      </c>
      <c r="S36" s="425">
        <v>1</v>
      </c>
      <c r="U36" s="425">
        <f>(ly_tx-ly_notx)*p_txeff_ss2_s+ly_notx</f>
        <v>0</v>
      </c>
      <c r="V36" s="425">
        <f>(qaly_tx-qaly_notx)*p_txeff_ss2_s+qaly_notx</f>
        <v>0</v>
      </c>
      <c r="W36" s="425">
        <f>(daly_tx-daly_notx)*p_txeff_ss2_s+daly_notx</f>
        <v>0</v>
      </c>
      <c r="X36" s="425">
        <f>(death_tx-death_notx)*p_txeff_ss2_s+death_notx</f>
        <v>7.1999999999999998E-3</v>
      </c>
      <c r="Y36" s="425">
        <f>(custom1_tx-custom1_notx)*p_txeff_ss2_s+custom1_notx</f>
        <v>0.1835</v>
      </c>
      <c r="Z36" s="425">
        <f>(custom2_tx-custom2_notx)*p_txeff_ss2_s+custom2_notx</f>
        <v>7.3399999999999993E-2</v>
      </c>
      <c r="AA36" s="425">
        <f>(custom3_tx-custom3_notx)*p_txeff_ss2_s+custom3_notx</f>
        <v>0</v>
      </c>
      <c r="AB36" s="425">
        <f>(custom4_tx-custom4_notx)*p_txeff_ss2_s+custom4_notx</f>
        <v>0</v>
      </c>
      <c r="AD36" s="425">
        <f t="shared" si="4"/>
        <v>0</v>
      </c>
      <c r="AE36" s="425">
        <f t="shared" si="5"/>
        <v>0</v>
      </c>
      <c r="AF36" s="425">
        <f t="shared" si="6"/>
        <v>0</v>
      </c>
      <c r="AG36" s="425">
        <f t="shared" si="7"/>
        <v>0</v>
      </c>
      <c r="AH36" s="425">
        <f t="shared" si="8"/>
        <v>0</v>
      </c>
      <c r="AI36" s="425">
        <f t="shared" si="9"/>
        <v>0</v>
      </c>
      <c r="AJ36" s="425">
        <f t="shared" si="10"/>
        <v>0</v>
      </c>
      <c r="AK36" s="425">
        <f t="shared" si="11"/>
        <v>0</v>
      </c>
      <c r="AM36" s="426">
        <f t="shared" si="12"/>
        <v>0</v>
      </c>
      <c r="AN36" s="425">
        <f t="shared" si="13"/>
        <v>0</v>
      </c>
      <c r="AO36" s="425">
        <f t="shared" si="14"/>
        <v>0</v>
      </c>
      <c r="AP36" s="425">
        <f t="shared" si="15"/>
        <v>0</v>
      </c>
      <c r="AQ36" s="425">
        <f t="shared" si="16"/>
        <v>0</v>
      </c>
      <c r="AR36" s="425">
        <f t="shared" si="17"/>
        <v>0</v>
      </c>
      <c r="AS36" s="425">
        <f t="shared" si="18"/>
        <v>0</v>
      </c>
      <c r="AT36" s="425">
        <f t="shared" si="19"/>
        <v>0</v>
      </c>
      <c r="AU36" s="425">
        <f t="shared" si="20"/>
        <v>0</v>
      </c>
      <c r="AW36" s="423">
        <f>p_ss2_ad</f>
        <v>0</v>
      </c>
      <c r="AY36" s="419">
        <f t="shared" si="38"/>
        <v>0</v>
      </c>
      <c r="AZ36" s="419">
        <f t="shared" si="39"/>
        <v>258.93</v>
      </c>
      <c r="BA36" s="419">
        <f t="shared" si="40"/>
        <v>849</v>
      </c>
      <c r="BB36" s="419">
        <f t="shared" si="41"/>
        <v>0</v>
      </c>
      <c r="BC36" s="419">
        <f t="shared" si="42"/>
        <v>0</v>
      </c>
      <c r="BE36" s="419">
        <f>wage_rate*((sickdays_1_tx-sickdays_1_notx)*p_txeff_ss2_s+sickdays_1_notx)</f>
        <v>37.119999999999997</v>
      </c>
      <c r="BF36" s="419">
        <f>wage_rate*((sickdays_2_tx-sickdays_2_notx)*p_txeff_ss2_s+sickdays_2_notx)</f>
        <v>53.359999999999992</v>
      </c>
      <c r="BG36" s="419">
        <f>wage_rate*((sickdays_3_tx-sickdays_3_notx)*p_txeff_ss2_s+sickdays_3_notx)</f>
        <v>0</v>
      </c>
      <c r="BH36" s="443">
        <f>wage_rate*((sickdays_4_tx-sickdays_4_notx)*p_txeff_ss2_s+sickdays_4_notx)</f>
        <v>0</v>
      </c>
    </row>
    <row r="37" spans="1:651">
      <c r="B37" s="206"/>
      <c r="C37" s="8"/>
      <c r="D37" s="429" t="str">
        <f t="shared" si="29"/>
        <v>Real world scenario_Seek care_Private location_Other_Substandard Quality 3</v>
      </c>
      <c r="E37" s="429">
        <f t="shared" si="1"/>
        <v>1000000</v>
      </c>
      <c r="F37" s="429" t="s">
        <v>393</v>
      </c>
      <c r="G37" s="429" t="s">
        <v>371</v>
      </c>
      <c r="H37" s="430">
        <f t="shared" si="2"/>
        <v>0.35</v>
      </c>
      <c r="I37" s="429" t="s">
        <v>402</v>
      </c>
      <c r="J37" s="430">
        <f t="shared" si="43"/>
        <v>0.5</v>
      </c>
      <c r="K37" s="429" t="s">
        <v>59</v>
      </c>
      <c r="L37" s="430">
        <f t="shared" si="52"/>
        <v>0.33333333333333331</v>
      </c>
      <c r="M37" s="429" t="s">
        <v>400</v>
      </c>
      <c r="N37" s="430">
        <f>p_p1_privo_f</f>
        <v>6.2E-2</v>
      </c>
      <c r="O37" s="429" t="s">
        <v>57</v>
      </c>
      <c r="P37" s="430">
        <f>p_updose_privother</f>
        <v>0</v>
      </c>
      <c r="Q37" s="429">
        <f>H37*J37*L37*N37*P37</f>
        <v>0</v>
      </c>
      <c r="S37" s="425">
        <f>total_doses_up_f</f>
        <v>0</v>
      </c>
      <c r="U37" s="425">
        <f>ly_tx</f>
        <v>0</v>
      </c>
      <c r="V37" s="425">
        <f>qaly_tx</f>
        <v>0</v>
      </c>
      <c r="W37" s="425">
        <f>daly_tx</f>
        <v>0</v>
      </c>
      <c r="X37" s="425">
        <f>death_tx</f>
        <v>3.0000000000000001E-3</v>
      </c>
      <c r="Y37" s="425">
        <f>custom1_tx</f>
        <v>7.4999999999999997E-2</v>
      </c>
      <c r="Z37" s="425">
        <f>custom2_tx</f>
        <v>0.03</v>
      </c>
      <c r="AA37" s="425">
        <f>custom3_tx</f>
        <v>0</v>
      </c>
      <c r="AB37" s="425">
        <f>custom4_tx</f>
        <v>0</v>
      </c>
      <c r="AD37" s="425">
        <f t="shared" si="4"/>
        <v>0</v>
      </c>
      <c r="AE37" s="425">
        <f t="shared" si="5"/>
        <v>0</v>
      </c>
      <c r="AF37" s="425">
        <f t="shared" si="6"/>
        <v>0</v>
      </c>
      <c r="AG37" s="425">
        <f t="shared" si="7"/>
        <v>0</v>
      </c>
      <c r="AH37" s="425">
        <f t="shared" si="8"/>
        <v>0</v>
      </c>
      <c r="AI37" s="425">
        <f t="shared" si="9"/>
        <v>0</v>
      </c>
      <c r="AJ37" s="425">
        <f t="shared" si="10"/>
        <v>0</v>
      </c>
      <c r="AK37" s="425">
        <f t="shared" si="11"/>
        <v>0</v>
      </c>
      <c r="AM37" s="426">
        <f t="shared" si="12"/>
        <v>0</v>
      </c>
      <c r="AN37" s="425">
        <f t="shared" si="13"/>
        <v>0</v>
      </c>
      <c r="AO37" s="425">
        <f t="shared" si="14"/>
        <v>0</v>
      </c>
      <c r="AP37" s="425">
        <f t="shared" si="15"/>
        <v>0</v>
      </c>
      <c r="AQ37" s="425">
        <f t="shared" si="16"/>
        <v>0</v>
      </c>
      <c r="AR37" s="425">
        <f t="shared" si="17"/>
        <v>0</v>
      </c>
      <c r="AS37" s="425">
        <f t="shared" si="18"/>
        <v>0</v>
      </c>
      <c r="AT37" s="425">
        <f t="shared" si="19"/>
        <v>0</v>
      </c>
      <c r="AU37" s="425">
        <f t="shared" si="20"/>
        <v>0</v>
      </c>
      <c r="AW37" s="423">
        <f>p_f_ad</f>
        <v>0</v>
      </c>
      <c r="AY37" s="419">
        <f t="shared" si="38"/>
        <v>0</v>
      </c>
      <c r="AZ37" s="419">
        <f t="shared" si="39"/>
        <v>258.93</v>
      </c>
      <c r="BA37" s="419">
        <f t="shared" si="40"/>
        <v>849</v>
      </c>
      <c r="BB37" s="419">
        <f t="shared" si="41"/>
        <v>0</v>
      </c>
      <c r="BC37" s="419">
        <f t="shared" si="42"/>
        <v>0</v>
      </c>
      <c r="BE37" s="419">
        <f>wage_rate*sickdays_1_tx</f>
        <v>37.119999999999997</v>
      </c>
      <c r="BF37" s="419">
        <f>wage_rate*sickdays_2_tx</f>
        <v>53.359999999999992</v>
      </c>
      <c r="BG37" s="419">
        <f>wage_rate*sickdays_3_tx</f>
        <v>0</v>
      </c>
      <c r="BH37" s="443">
        <f>wage_rate*sickdays_4_tx</f>
        <v>0</v>
      </c>
    </row>
    <row r="38" spans="1:651">
      <c r="B38" s="206"/>
      <c r="C38" s="8"/>
      <c r="D38" s="429" t="str">
        <f t="shared" ref="D38" si="55">_xlfn.CONCAT(F38,"_",G38,"_",I38,"_",K38,"_",M38)</f>
        <v>Real world scenario_Seek care_Private location_Other_Substandard Quality 3</v>
      </c>
      <c r="E38" s="429">
        <f t="shared" si="1"/>
        <v>1000000</v>
      </c>
      <c r="F38" s="429" t="s">
        <v>393</v>
      </c>
      <c r="G38" s="429" t="s">
        <v>371</v>
      </c>
      <c r="H38" s="430">
        <f t="shared" si="2"/>
        <v>0.35</v>
      </c>
      <c r="I38" s="429" t="s">
        <v>402</v>
      </c>
      <c r="J38" s="430">
        <f t="shared" si="43"/>
        <v>0.5</v>
      </c>
      <c r="K38" s="429" t="s">
        <v>59</v>
      </c>
      <c r="L38" s="430">
        <f t="shared" si="52"/>
        <v>0.33333333333333331</v>
      </c>
      <c r="M38" s="429" t="s">
        <v>400</v>
      </c>
      <c r="N38" s="430">
        <f>p_p1_privo_f</f>
        <v>6.2E-2</v>
      </c>
      <c r="O38" s="429" t="s">
        <v>398</v>
      </c>
      <c r="P38" s="430">
        <f>1-p_updose_privother</f>
        <v>1</v>
      </c>
      <c r="Q38" s="429">
        <f>H38*J38*L38*N38*P38</f>
        <v>3.6166666666666665E-3</v>
      </c>
      <c r="S38" s="425">
        <v>1</v>
      </c>
      <c r="U38" s="425">
        <f>ly_notx</f>
        <v>0</v>
      </c>
      <c r="V38" s="425">
        <f>qaly_notx</f>
        <v>0</v>
      </c>
      <c r="W38" s="425">
        <f>daly_notx</f>
        <v>0</v>
      </c>
      <c r="X38" s="425">
        <f>death_notx</f>
        <v>8.9999999999999993E-3</v>
      </c>
      <c r="Y38" s="425">
        <f>custom1_notx</f>
        <v>0.23</v>
      </c>
      <c r="Z38" s="425">
        <f>custom2_notx</f>
        <v>9.1999999999999998E-2</v>
      </c>
      <c r="AA38" s="425">
        <f>custom3_notx</f>
        <v>0</v>
      </c>
      <c r="AB38" s="425">
        <f>custom4_notx</f>
        <v>0</v>
      </c>
      <c r="AD38" s="425">
        <f t="shared" si="4"/>
        <v>0</v>
      </c>
      <c r="AE38" s="425">
        <f t="shared" si="5"/>
        <v>0</v>
      </c>
      <c r="AF38" s="425">
        <f t="shared" si="6"/>
        <v>0</v>
      </c>
      <c r="AG38" s="425">
        <f t="shared" si="7"/>
        <v>3.2549999999999998E-5</v>
      </c>
      <c r="AH38" s="425">
        <f t="shared" si="8"/>
        <v>8.318333333333333E-4</v>
      </c>
      <c r="AI38" s="425">
        <f t="shared" si="9"/>
        <v>3.3273333333333331E-4</v>
      </c>
      <c r="AJ38" s="425">
        <f t="shared" si="10"/>
        <v>0</v>
      </c>
      <c r="AK38" s="425">
        <f t="shared" si="11"/>
        <v>0</v>
      </c>
      <c r="AM38" s="426">
        <f t="shared" si="12"/>
        <v>3616.6666666666665</v>
      </c>
      <c r="AN38" s="425">
        <f t="shared" si="13"/>
        <v>0</v>
      </c>
      <c r="AO38" s="425">
        <f t="shared" si="14"/>
        <v>0</v>
      </c>
      <c r="AP38" s="425">
        <f t="shared" si="15"/>
        <v>0</v>
      </c>
      <c r="AQ38" s="425">
        <f t="shared" si="16"/>
        <v>32.549999999999997</v>
      </c>
      <c r="AR38" s="425">
        <f t="shared" si="17"/>
        <v>831.83333333333326</v>
      </c>
      <c r="AS38" s="425">
        <f t="shared" si="18"/>
        <v>332.73333333333329</v>
      </c>
      <c r="AT38" s="425">
        <f t="shared" si="19"/>
        <v>0</v>
      </c>
      <c r="AU38" s="425">
        <f t="shared" si="20"/>
        <v>0</v>
      </c>
      <c r="AW38" s="423">
        <f>p_f_ad</f>
        <v>0</v>
      </c>
      <c r="AY38" s="419">
        <f t="shared" si="38"/>
        <v>0</v>
      </c>
      <c r="AZ38" s="419">
        <f t="shared" si="39"/>
        <v>258.93</v>
      </c>
      <c r="BA38" s="419">
        <f t="shared" si="40"/>
        <v>849</v>
      </c>
      <c r="BB38" s="419">
        <f t="shared" si="41"/>
        <v>0</v>
      </c>
      <c r="BC38" s="419">
        <f t="shared" si="42"/>
        <v>0</v>
      </c>
      <c r="BE38" s="419">
        <f>wage_rate*sickdays_1_notx</f>
        <v>37.119999999999997</v>
      </c>
      <c r="BF38" s="419">
        <f>wage_rate*sickdays_2_notx</f>
        <v>53.359999999999992</v>
      </c>
      <c r="BG38" s="419">
        <f>wage_rate*sickdays_3_notx</f>
        <v>0</v>
      </c>
      <c r="BH38" s="443">
        <f>wage_rate*sickdays_4_notx</f>
        <v>0</v>
      </c>
    </row>
    <row r="39" spans="1:651">
      <c r="B39" s="206"/>
      <c r="C39" s="8"/>
      <c r="D39" s="429" t="str">
        <f t="shared" ref="D39:D44" si="56">_xlfn.CONCAT(F39,"_",G39,"_",I39,"_",K39,"_",M39)</f>
        <v>Real world scenario_Seek care_Other location_Other_Standard Quality</v>
      </c>
      <c r="E39" s="429">
        <f t="shared" si="1"/>
        <v>1000000</v>
      </c>
      <c r="F39" s="429" t="s">
        <v>393</v>
      </c>
      <c r="G39" s="429" t="s">
        <v>371</v>
      </c>
      <c r="H39" s="430">
        <f t="shared" si="2"/>
        <v>0.35</v>
      </c>
      <c r="I39" s="429" t="s">
        <v>404</v>
      </c>
      <c r="J39" s="430">
        <f>pop_receive_other</f>
        <v>0</v>
      </c>
      <c r="K39" s="429" t="s">
        <v>59</v>
      </c>
      <c r="L39" s="430">
        <v>1</v>
      </c>
      <c r="M39" s="429" t="s">
        <v>23</v>
      </c>
      <c r="N39" s="430">
        <f>1-(p_p1_other_ss1+p_p1_other_ss2+p_p1_other_f)</f>
        <v>0.83799999999999997</v>
      </c>
      <c r="O39" s="431" t="s">
        <v>396</v>
      </c>
      <c r="P39" s="430"/>
      <c r="Q39" s="429">
        <f>H39*J39*L39*N39</f>
        <v>0</v>
      </c>
      <c r="S39" s="425">
        <v>1</v>
      </c>
      <c r="U39" s="425">
        <f>ly_tx</f>
        <v>0</v>
      </c>
      <c r="V39" s="425">
        <f>qaly_tx</f>
        <v>0</v>
      </c>
      <c r="W39" s="425">
        <f>daly_tx</f>
        <v>0</v>
      </c>
      <c r="X39" s="425">
        <f>death_tx</f>
        <v>3.0000000000000001E-3</v>
      </c>
      <c r="Y39" s="425">
        <f>custom1_tx</f>
        <v>7.4999999999999997E-2</v>
      </c>
      <c r="Z39" s="425">
        <f>custom2_tx</f>
        <v>0.03</v>
      </c>
      <c r="AA39" s="425">
        <f>custom3_tx</f>
        <v>0</v>
      </c>
      <c r="AB39" s="425">
        <f>custom4_tx</f>
        <v>0</v>
      </c>
      <c r="AD39" s="425">
        <f t="shared" si="4"/>
        <v>0</v>
      </c>
      <c r="AE39" s="425">
        <f t="shared" si="5"/>
        <v>0</v>
      </c>
      <c r="AF39" s="425">
        <f t="shared" si="6"/>
        <v>0</v>
      </c>
      <c r="AG39" s="425">
        <f t="shared" si="7"/>
        <v>0</v>
      </c>
      <c r="AH39" s="425">
        <f t="shared" si="8"/>
        <v>0</v>
      </c>
      <c r="AI39" s="425">
        <f t="shared" si="9"/>
        <v>0</v>
      </c>
      <c r="AJ39" s="425">
        <f t="shared" si="10"/>
        <v>0</v>
      </c>
      <c r="AK39" s="425">
        <f t="shared" si="11"/>
        <v>0</v>
      </c>
      <c r="AM39" s="426">
        <f t="shared" si="12"/>
        <v>0</v>
      </c>
      <c r="AN39" s="425">
        <f t="shared" si="13"/>
        <v>0</v>
      </c>
      <c r="AO39" s="425">
        <f t="shared" si="14"/>
        <v>0</v>
      </c>
      <c r="AP39" s="425">
        <f t="shared" si="15"/>
        <v>0</v>
      </c>
      <c r="AQ39" s="425">
        <f t="shared" si="16"/>
        <v>0</v>
      </c>
      <c r="AR39" s="425">
        <f t="shared" si="17"/>
        <v>0</v>
      </c>
      <c r="AS39" s="425">
        <f t="shared" si="18"/>
        <v>0</v>
      </c>
      <c r="AT39" s="425">
        <f t="shared" si="19"/>
        <v>0</v>
      </c>
      <c r="AU39" s="425">
        <f t="shared" si="20"/>
        <v>0</v>
      </c>
      <c r="AW39" s="423">
        <v>0</v>
      </c>
      <c r="AY39" s="419">
        <f t="shared" ref="AY39:AY45" si="57">_xlfn.SINGLE(IF(AND(I39="Public location", K39="Hospital"),c_drug_pub_hos, c_drug_pub_hc))*S39</f>
        <v>0</v>
      </c>
      <c r="AZ39" s="419">
        <f t="shared" ref="AZ39:AZ45" si="58">c_custom1_other</f>
        <v>258.93</v>
      </c>
      <c r="BA39" s="419">
        <f t="shared" ref="BA39:BA45" si="59">c_custom2_other</f>
        <v>849</v>
      </c>
      <c r="BB39" s="419">
        <f t="shared" ref="BB39:BB45" si="60">c_custom3_other</f>
        <v>0</v>
      </c>
      <c r="BC39" s="419">
        <f t="shared" ref="BC39:BC45" si="61">c_custom4_other</f>
        <v>0</v>
      </c>
      <c r="BE39" s="419">
        <f>wage_rate*sickdays_1_tx</f>
        <v>37.119999999999997</v>
      </c>
      <c r="BF39" s="419">
        <f>wage_rate*sickdays_2_tx</f>
        <v>53.359999999999992</v>
      </c>
      <c r="BG39" s="419">
        <f>wage_rate*sickdays_3_tx</f>
        <v>0</v>
      </c>
      <c r="BH39" s="443">
        <f>wage_rate*sickdays_4_tx</f>
        <v>0</v>
      </c>
    </row>
    <row r="40" spans="1:651">
      <c r="C40" s="8"/>
      <c r="D40" s="429" t="str">
        <f t="shared" si="56"/>
        <v>Real world scenario_Seek care_Other location_Other_Substandard Quality1</v>
      </c>
      <c r="E40" s="429">
        <f t="shared" si="1"/>
        <v>1000000</v>
      </c>
      <c r="F40" s="429" t="s">
        <v>393</v>
      </c>
      <c r="G40" s="429" t="s">
        <v>371</v>
      </c>
      <c r="H40" s="430">
        <f t="shared" si="2"/>
        <v>0.35</v>
      </c>
      <c r="I40" s="429" t="s">
        <v>404</v>
      </c>
      <c r="J40" s="430">
        <f t="shared" ref="J40:J45" si="62">pop_receive_other</f>
        <v>0</v>
      </c>
      <c r="K40" s="429" t="s">
        <v>59</v>
      </c>
      <c r="L40" s="430">
        <v>1</v>
      </c>
      <c r="M40" s="429" t="s">
        <v>397</v>
      </c>
      <c r="N40" s="430">
        <f>p_p1_other_ss1</f>
        <v>0.1</v>
      </c>
      <c r="O40" s="429" t="s">
        <v>57</v>
      </c>
      <c r="P40" s="430">
        <f>p_updose_other</f>
        <v>0</v>
      </c>
      <c r="Q40" s="429">
        <f>H40*J40*L40*N40*P40</f>
        <v>0</v>
      </c>
      <c r="S40" s="425">
        <f>total_doses_up_ss1</f>
        <v>0</v>
      </c>
      <c r="U40" s="425">
        <f>ly_tx</f>
        <v>0</v>
      </c>
      <c r="V40" s="425">
        <f>qaly_tx</f>
        <v>0</v>
      </c>
      <c r="W40" s="425">
        <f>daly_tx</f>
        <v>0</v>
      </c>
      <c r="X40" s="425">
        <f>death_tx</f>
        <v>3.0000000000000001E-3</v>
      </c>
      <c r="Y40" s="425">
        <f>custom1_tx</f>
        <v>7.4999999999999997E-2</v>
      </c>
      <c r="Z40" s="425">
        <f>custom2_tx</f>
        <v>0.03</v>
      </c>
      <c r="AA40" s="425">
        <f>custom3_tx</f>
        <v>0</v>
      </c>
      <c r="AB40" s="425">
        <f>custom4_tx</f>
        <v>0</v>
      </c>
      <c r="AD40" s="425">
        <f t="shared" si="4"/>
        <v>0</v>
      </c>
      <c r="AE40" s="425">
        <f t="shared" si="5"/>
        <v>0</v>
      </c>
      <c r="AF40" s="425">
        <f t="shared" si="6"/>
        <v>0</v>
      </c>
      <c r="AG40" s="425">
        <f t="shared" si="7"/>
        <v>0</v>
      </c>
      <c r="AH40" s="425">
        <f t="shared" si="8"/>
        <v>0</v>
      </c>
      <c r="AI40" s="425">
        <f t="shared" si="9"/>
        <v>0</v>
      </c>
      <c r="AJ40" s="425">
        <f t="shared" si="10"/>
        <v>0</v>
      </c>
      <c r="AK40" s="425">
        <f t="shared" si="11"/>
        <v>0</v>
      </c>
      <c r="AM40" s="426">
        <f t="shared" si="12"/>
        <v>0</v>
      </c>
      <c r="AN40" s="425">
        <f t="shared" si="13"/>
        <v>0</v>
      </c>
      <c r="AO40" s="425">
        <f t="shared" si="14"/>
        <v>0</v>
      </c>
      <c r="AP40" s="425">
        <f t="shared" si="15"/>
        <v>0</v>
      </c>
      <c r="AQ40" s="425">
        <f t="shared" si="16"/>
        <v>0</v>
      </c>
      <c r="AR40" s="425">
        <f t="shared" si="17"/>
        <v>0</v>
      </c>
      <c r="AS40" s="425">
        <f t="shared" si="18"/>
        <v>0</v>
      </c>
      <c r="AT40" s="425">
        <f t="shared" si="19"/>
        <v>0</v>
      </c>
      <c r="AU40" s="425">
        <f t="shared" si="20"/>
        <v>0</v>
      </c>
      <c r="AW40" s="423">
        <f>p_ss1_ad</f>
        <v>0</v>
      </c>
      <c r="AY40" s="419">
        <f t="shared" si="57"/>
        <v>0</v>
      </c>
      <c r="AZ40" s="419">
        <f t="shared" si="58"/>
        <v>258.93</v>
      </c>
      <c r="BA40" s="419">
        <f t="shared" si="59"/>
        <v>849</v>
      </c>
      <c r="BB40" s="419">
        <f t="shared" si="60"/>
        <v>0</v>
      </c>
      <c r="BC40" s="419">
        <f t="shared" si="61"/>
        <v>0</v>
      </c>
      <c r="BE40" s="419">
        <f>wage_rate*sickdays_1_tx</f>
        <v>37.119999999999997</v>
      </c>
      <c r="BF40" s="419">
        <f>wage_rate*sickdays_2_tx</f>
        <v>53.359999999999992</v>
      </c>
      <c r="BG40" s="419">
        <f>wage_rate*sickdays_3_tx</f>
        <v>0</v>
      </c>
      <c r="BH40" s="443">
        <f>wage_rate*sickdays_4_tx</f>
        <v>0</v>
      </c>
    </row>
    <row r="41" spans="1:651">
      <c r="C41" s="8"/>
      <c r="D41" s="429" t="str">
        <f t="shared" ref="D41" si="63">_xlfn.CONCAT(F41,"_",G41,"_",I41,"_",K41,"_",M41)</f>
        <v>Real world scenario_Seek care_Other location_Other_Substandard Quality1</v>
      </c>
      <c r="E41" s="429">
        <f t="shared" si="1"/>
        <v>1000000</v>
      </c>
      <c r="F41" s="429" t="s">
        <v>393</v>
      </c>
      <c r="G41" s="429" t="s">
        <v>371</v>
      </c>
      <c r="H41" s="430">
        <f t="shared" si="2"/>
        <v>0.35</v>
      </c>
      <c r="I41" s="429" t="s">
        <v>404</v>
      </c>
      <c r="J41" s="430">
        <f t="shared" si="62"/>
        <v>0</v>
      </c>
      <c r="K41" s="429" t="s">
        <v>59</v>
      </c>
      <c r="L41" s="430">
        <v>1</v>
      </c>
      <c r="M41" s="429" t="s">
        <v>397</v>
      </c>
      <c r="N41" s="430">
        <f>p_p1_other_ss1</f>
        <v>0.1</v>
      </c>
      <c r="O41" s="429" t="s">
        <v>398</v>
      </c>
      <c r="P41" s="430">
        <f>1-p_updose_other</f>
        <v>1</v>
      </c>
      <c r="Q41" s="429">
        <f t="shared" si="24"/>
        <v>0</v>
      </c>
      <c r="S41" s="425">
        <v>1</v>
      </c>
      <c r="U41" s="425">
        <f>(ly_tx-ly_notx)*p_txeff_ss1_s+ly_notx</f>
        <v>0</v>
      </c>
      <c r="V41" s="425">
        <f>(qaly_tx-qaly_notx)*p_txeff_ss1_s+qaly_notx</f>
        <v>0</v>
      </c>
      <c r="W41" s="425">
        <f>(daly_tx-daly_notx)*p_txeff_ss1_s+daly_notx</f>
        <v>0</v>
      </c>
      <c r="X41" s="425">
        <f>(death_tx-death_notx)*p_txeff_ss1_s+death_notx</f>
        <v>5.4000000000000003E-3</v>
      </c>
      <c r="Y41" s="425">
        <f>(custom1_tx-custom1_notx)*p_txeff_ss1_s+custom1_notx</f>
        <v>0.13700000000000001</v>
      </c>
      <c r="Z41" s="425">
        <f>(custom2_tx-custom2_notx)*p_txeff_ss1_s+custom2_notx</f>
        <v>5.4800000000000001E-2</v>
      </c>
      <c r="AA41" s="425">
        <f>(custom3_tx-custom3_notx)*p_txeff_ss1_s+custom3_notx</f>
        <v>0</v>
      </c>
      <c r="AB41" s="425">
        <f>(custom4_tx-custom4_notx)*p_txeff_ss1_s+custom4_notx</f>
        <v>0</v>
      </c>
      <c r="AD41" s="425">
        <f t="shared" si="4"/>
        <v>0</v>
      </c>
      <c r="AE41" s="425">
        <f t="shared" si="5"/>
        <v>0</v>
      </c>
      <c r="AF41" s="425">
        <f t="shared" si="6"/>
        <v>0</v>
      </c>
      <c r="AG41" s="425">
        <f t="shared" si="7"/>
        <v>0</v>
      </c>
      <c r="AH41" s="425">
        <f t="shared" si="8"/>
        <v>0</v>
      </c>
      <c r="AI41" s="425">
        <f t="shared" si="9"/>
        <v>0</v>
      </c>
      <c r="AJ41" s="425">
        <f t="shared" si="10"/>
        <v>0</v>
      </c>
      <c r="AK41" s="425">
        <f t="shared" si="11"/>
        <v>0</v>
      </c>
      <c r="AM41" s="426">
        <f t="shared" si="12"/>
        <v>0</v>
      </c>
      <c r="AN41" s="425">
        <f t="shared" si="13"/>
        <v>0</v>
      </c>
      <c r="AO41" s="425">
        <f t="shared" si="14"/>
        <v>0</v>
      </c>
      <c r="AP41" s="425">
        <f t="shared" si="15"/>
        <v>0</v>
      </c>
      <c r="AQ41" s="425">
        <f t="shared" si="16"/>
        <v>0</v>
      </c>
      <c r="AR41" s="425">
        <f t="shared" si="17"/>
        <v>0</v>
      </c>
      <c r="AS41" s="425">
        <f t="shared" si="18"/>
        <v>0</v>
      </c>
      <c r="AT41" s="425">
        <f t="shared" si="19"/>
        <v>0</v>
      </c>
      <c r="AU41" s="425">
        <f t="shared" si="20"/>
        <v>0</v>
      </c>
      <c r="AW41" s="423">
        <f>p_ss1_ad</f>
        <v>0</v>
      </c>
      <c r="AY41" s="419">
        <f t="shared" si="57"/>
        <v>0</v>
      </c>
      <c r="AZ41" s="419">
        <f t="shared" si="58"/>
        <v>258.93</v>
      </c>
      <c r="BA41" s="419">
        <f t="shared" si="59"/>
        <v>849</v>
      </c>
      <c r="BB41" s="419">
        <f t="shared" si="60"/>
        <v>0</v>
      </c>
      <c r="BC41" s="419">
        <f t="shared" si="61"/>
        <v>0</v>
      </c>
      <c r="BE41" s="419">
        <f>wage_rate*((sickdays_1_tx-sickdays_1_notx)*p_txeff_ss1_s+sickdays_1_notx)</f>
        <v>37.119999999999997</v>
      </c>
      <c r="BF41" s="419">
        <f>wage_rate*((sickdays_2_tx-sickdays_2_notx)*p_txeff_ss1_s+sickdays_2_notx)</f>
        <v>53.359999999999992</v>
      </c>
      <c r="BG41" s="419">
        <f>wage_rate*((sickdays_3_tx-sickdays_3_notx)*p_txeff_ss1_s+sickdays_3_notx)</f>
        <v>0</v>
      </c>
      <c r="BH41" s="443">
        <f>wage_rate*((sickdays_4_tx-sickdays_4_notx)*p_txeff_ss1_s+sickdays_4_notx)</f>
        <v>0</v>
      </c>
    </row>
    <row r="42" spans="1:651">
      <c r="C42" s="8"/>
      <c r="D42" s="429" t="str">
        <f t="shared" si="56"/>
        <v>Real world scenario_Seek care_Other location_Other_Substandard Quality2</v>
      </c>
      <c r="E42" s="429">
        <f t="shared" si="1"/>
        <v>1000000</v>
      </c>
      <c r="F42" s="429" t="s">
        <v>393</v>
      </c>
      <c r="G42" s="429" t="s">
        <v>371</v>
      </c>
      <c r="H42" s="430">
        <f t="shared" si="2"/>
        <v>0.35</v>
      </c>
      <c r="I42" s="429" t="s">
        <v>404</v>
      </c>
      <c r="J42" s="430">
        <f t="shared" si="62"/>
        <v>0</v>
      </c>
      <c r="K42" s="429" t="s">
        <v>59</v>
      </c>
      <c r="L42" s="430">
        <v>1</v>
      </c>
      <c r="M42" s="429" t="s">
        <v>399</v>
      </c>
      <c r="N42" s="430">
        <f>p_p1_other_ss2</f>
        <v>0</v>
      </c>
      <c r="O42" s="429" t="s">
        <v>57</v>
      </c>
      <c r="P42" s="430">
        <f>p_updose_other</f>
        <v>0</v>
      </c>
      <c r="Q42" s="429">
        <f t="shared" si="24"/>
        <v>0</v>
      </c>
      <c r="S42" s="425">
        <f>total_doses_up_ss2</f>
        <v>0</v>
      </c>
      <c r="U42" s="425">
        <f>ly_tx</f>
        <v>0</v>
      </c>
      <c r="V42" s="425">
        <f>qaly_tx</f>
        <v>0</v>
      </c>
      <c r="W42" s="425">
        <f>daly_tx</f>
        <v>0</v>
      </c>
      <c r="X42" s="425">
        <f>death_tx</f>
        <v>3.0000000000000001E-3</v>
      </c>
      <c r="Y42" s="425">
        <f>custom1_tx</f>
        <v>7.4999999999999997E-2</v>
      </c>
      <c r="Z42" s="425">
        <f>custom2_tx</f>
        <v>0.03</v>
      </c>
      <c r="AA42" s="425">
        <f>custom3_tx</f>
        <v>0</v>
      </c>
      <c r="AB42" s="425">
        <f>custom4_tx</f>
        <v>0</v>
      </c>
      <c r="AD42" s="425">
        <f t="shared" si="4"/>
        <v>0</v>
      </c>
      <c r="AE42" s="425">
        <f t="shared" si="5"/>
        <v>0</v>
      </c>
      <c r="AF42" s="425">
        <f t="shared" si="6"/>
        <v>0</v>
      </c>
      <c r="AG42" s="425">
        <f t="shared" si="7"/>
        <v>0</v>
      </c>
      <c r="AH42" s="425">
        <f t="shared" si="8"/>
        <v>0</v>
      </c>
      <c r="AI42" s="425">
        <f t="shared" si="9"/>
        <v>0</v>
      </c>
      <c r="AJ42" s="425">
        <f t="shared" si="10"/>
        <v>0</v>
      </c>
      <c r="AK42" s="425">
        <f t="shared" si="11"/>
        <v>0</v>
      </c>
      <c r="AM42" s="426">
        <f t="shared" si="12"/>
        <v>0</v>
      </c>
      <c r="AN42" s="425">
        <f t="shared" si="13"/>
        <v>0</v>
      </c>
      <c r="AO42" s="425">
        <f t="shared" si="14"/>
        <v>0</v>
      </c>
      <c r="AP42" s="425">
        <f t="shared" si="15"/>
        <v>0</v>
      </c>
      <c r="AQ42" s="425">
        <f t="shared" si="16"/>
        <v>0</v>
      </c>
      <c r="AR42" s="425">
        <f t="shared" si="17"/>
        <v>0</v>
      </c>
      <c r="AS42" s="425">
        <f t="shared" si="18"/>
        <v>0</v>
      </c>
      <c r="AT42" s="425">
        <f t="shared" si="19"/>
        <v>0</v>
      </c>
      <c r="AU42" s="425">
        <f t="shared" si="20"/>
        <v>0</v>
      </c>
      <c r="AW42" s="423">
        <f>p_ss2_ad</f>
        <v>0</v>
      </c>
      <c r="AY42" s="419">
        <f t="shared" si="57"/>
        <v>0</v>
      </c>
      <c r="AZ42" s="419">
        <f t="shared" si="58"/>
        <v>258.93</v>
      </c>
      <c r="BA42" s="419">
        <f t="shared" si="59"/>
        <v>849</v>
      </c>
      <c r="BB42" s="419">
        <f t="shared" si="60"/>
        <v>0</v>
      </c>
      <c r="BC42" s="419">
        <f t="shared" si="61"/>
        <v>0</v>
      </c>
      <c r="BE42" s="419">
        <f>wage_rate*sickdays_1_tx</f>
        <v>37.119999999999997</v>
      </c>
      <c r="BF42" s="419">
        <f>wage_rate*sickdays_2_tx</f>
        <v>53.359999999999992</v>
      </c>
      <c r="BG42" s="419">
        <f>wage_rate*sickdays_3_tx</f>
        <v>0</v>
      </c>
      <c r="BH42" s="443">
        <f>wage_rate*sickdays_4_tx</f>
        <v>0</v>
      </c>
    </row>
    <row r="43" spans="1:651">
      <c r="C43" s="8"/>
      <c r="D43" s="429" t="str">
        <f t="shared" ref="D43" si="64">_xlfn.CONCAT(F43,"_",G43,"_",I43,"_",K43,"_",M43)</f>
        <v>Real world scenario_Seek care_Other location_Other_Substandard Quality2</v>
      </c>
      <c r="E43" s="429">
        <f t="shared" si="1"/>
        <v>1000000</v>
      </c>
      <c r="F43" s="429" t="s">
        <v>393</v>
      </c>
      <c r="G43" s="429" t="s">
        <v>371</v>
      </c>
      <c r="H43" s="430">
        <f t="shared" si="2"/>
        <v>0.35</v>
      </c>
      <c r="I43" s="429" t="s">
        <v>404</v>
      </c>
      <c r="J43" s="430">
        <f t="shared" si="62"/>
        <v>0</v>
      </c>
      <c r="K43" s="429" t="s">
        <v>59</v>
      </c>
      <c r="L43" s="430">
        <v>1</v>
      </c>
      <c r="M43" s="429" t="s">
        <v>399</v>
      </c>
      <c r="N43" s="430">
        <f>p_p1_other_ss2</f>
        <v>0</v>
      </c>
      <c r="O43" s="429" t="s">
        <v>398</v>
      </c>
      <c r="P43" s="430">
        <f>1-p_updose_other</f>
        <v>1</v>
      </c>
      <c r="Q43" s="429">
        <f t="shared" si="24"/>
        <v>0</v>
      </c>
      <c r="S43" s="425">
        <v>1</v>
      </c>
      <c r="U43" s="425">
        <f>(ly_tx-ly_notx)*p_txeff_ss2_s+ly_notx</f>
        <v>0</v>
      </c>
      <c r="V43" s="425">
        <f>(qaly_tx-qaly_notx)*p_txeff_ss2_s+qaly_notx</f>
        <v>0</v>
      </c>
      <c r="W43" s="425">
        <f>(daly_tx-daly_notx)*p_txeff_ss2_s+daly_notx</f>
        <v>0</v>
      </c>
      <c r="X43" s="425">
        <f>(death_tx-death_notx)*p_txeff_ss2_s+death_notx</f>
        <v>7.1999999999999998E-3</v>
      </c>
      <c r="Y43" s="425">
        <f>(custom1_tx-custom1_notx)*p_txeff_ss2_s+custom1_notx</f>
        <v>0.1835</v>
      </c>
      <c r="Z43" s="425">
        <f>(custom2_tx-custom2_notx)*p_txeff_ss2_s+custom2_notx</f>
        <v>7.3399999999999993E-2</v>
      </c>
      <c r="AA43" s="425">
        <f>(custom3_tx-custom3_notx)*p_txeff_ss2_s+custom3_notx</f>
        <v>0</v>
      </c>
      <c r="AB43" s="425">
        <f>(custom4_tx-custom4_notx)*p_txeff_ss2_s+custom4_notx</f>
        <v>0</v>
      </c>
      <c r="AD43" s="425">
        <f t="shared" si="4"/>
        <v>0</v>
      </c>
      <c r="AE43" s="425">
        <f t="shared" si="5"/>
        <v>0</v>
      </c>
      <c r="AF43" s="425">
        <f t="shared" si="6"/>
        <v>0</v>
      </c>
      <c r="AG43" s="425">
        <f t="shared" si="7"/>
        <v>0</v>
      </c>
      <c r="AH43" s="425">
        <f t="shared" si="8"/>
        <v>0</v>
      </c>
      <c r="AI43" s="425">
        <f t="shared" si="9"/>
        <v>0</v>
      </c>
      <c r="AJ43" s="425">
        <f t="shared" si="10"/>
        <v>0</v>
      </c>
      <c r="AK43" s="425">
        <f t="shared" si="11"/>
        <v>0</v>
      </c>
      <c r="AM43" s="426">
        <f t="shared" si="12"/>
        <v>0</v>
      </c>
      <c r="AN43" s="425">
        <f t="shared" si="13"/>
        <v>0</v>
      </c>
      <c r="AO43" s="425">
        <f t="shared" si="14"/>
        <v>0</v>
      </c>
      <c r="AP43" s="425">
        <f t="shared" si="15"/>
        <v>0</v>
      </c>
      <c r="AQ43" s="425">
        <f t="shared" si="16"/>
        <v>0</v>
      </c>
      <c r="AR43" s="425">
        <f t="shared" si="17"/>
        <v>0</v>
      </c>
      <c r="AS43" s="425">
        <f t="shared" si="18"/>
        <v>0</v>
      </c>
      <c r="AT43" s="425">
        <f t="shared" si="19"/>
        <v>0</v>
      </c>
      <c r="AU43" s="425">
        <f t="shared" si="20"/>
        <v>0</v>
      </c>
      <c r="AW43" s="423">
        <f>p_ss2_ad</f>
        <v>0</v>
      </c>
      <c r="AY43" s="419">
        <f t="shared" si="57"/>
        <v>0</v>
      </c>
      <c r="AZ43" s="419">
        <f t="shared" si="58"/>
        <v>258.93</v>
      </c>
      <c r="BA43" s="419">
        <f t="shared" si="59"/>
        <v>849</v>
      </c>
      <c r="BB43" s="419">
        <f t="shared" si="60"/>
        <v>0</v>
      </c>
      <c r="BC43" s="419">
        <f t="shared" si="61"/>
        <v>0</v>
      </c>
      <c r="BE43" s="419">
        <f>wage_rate*((sickdays_1_tx-sickdays_1_notx)*p_txeff_ss2_s+sickdays_1_notx)</f>
        <v>37.119999999999997</v>
      </c>
      <c r="BF43" s="419">
        <f>wage_rate*((sickdays_2_tx-sickdays_2_notx)*p_txeff_ss2_s+sickdays_2_notx)</f>
        <v>53.359999999999992</v>
      </c>
      <c r="BG43" s="419">
        <f>wage_rate*((sickdays_3_tx-sickdays_3_notx)*p_txeff_ss2_s+sickdays_3_notx)</f>
        <v>0</v>
      </c>
      <c r="BH43" s="443">
        <f>wage_rate*((sickdays_4_tx-sickdays_4_notx)*p_txeff_ss2_s+sickdays_4_notx)</f>
        <v>0</v>
      </c>
    </row>
    <row r="44" spans="1:651">
      <c r="C44" s="8"/>
      <c r="D44" s="429" t="str">
        <f t="shared" si="56"/>
        <v>Real world scenario_Seek care_Other location_Other_Substandard Quality 3</v>
      </c>
      <c r="E44" s="429">
        <f t="shared" si="1"/>
        <v>1000000</v>
      </c>
      <c r="F44" s="429" t="s">
        <v>393</v>
      </c>
      <c r="G44" s="429" t="s">
        <v>371</v>
      </c>
      <c r="H44" s="430">
        <f t="shared" si="2"/>
        <v>0.35</v>
      </c>
      <c r="I44" s="429" t="s">
        <v>404</v>
      </c>
      <c r="J44" s="430">
        <f t="shared" si="62"/>
        <v>0</v>
      </c>
      <c r="K44" s="429" t="s">
        <v>59</v>
      </c>
      <c r="L44" s="430">
        <v>1</v>
      </c>
      <c r="M44" s="429" t="s">
        <v>400</v>
      </c>
      <c r="N44" s="430">
        <f>p_p1_other_f</f>
        <v>6.2E-2</v>
      </c>
      <c r="O44" s="429" t="s">
        <v>57</v>
      </c>
      <c r="P44" s="430">
        <f>p_updose_other</f>
        <v>0</v>
      </c>
      <c r="Q44" s="429">
        <f>H44*J44*L44*N44*P44</f>
        <v>0</v>
      </c>
      <c r="S44" s="425">
        <f>total_doses_up_f</f>
        <v>0</v>
      </c>
      <c r="U44" s="425">
        <f>ly_tx</f>
        <v>0</v>
      </c>
      <c r="V44" s="425">
        <f>qaly_tx</f>
        <v>0</v>
      </c>
      <c r="W44" s="425">
        <f>daly_tx</f>
        <v>0</v>
      </c>
      <c r="X44" s="425">
        <f>death_tx</f>
        <v>3.0000000000000001E-3</v>
      </c>
      <c r="Y44" s="425">
        <f>custom1_tx</f>
        <v>7.4999999999999997E-2</v>
      </c>
      <c r="Z44" s="425">
        <f>custom2_tx</f>
        <v>0.03</v>
      </c>
      <c r="AA44" s="425">
        <f>custom3_tx</f>
        <v>0</v>
      </c>
      <c r="AB44" s="425">
        <f>custom4_tx</f>
        <v>0</v>
      </c>
      <c r="AD44" s="425">
        <f t="shared" si="4"/>
        <v>0</v>
      </c>
      <c r="AE44" s="425">
        <f t="shared" si="5"/>
        <v>0</v>
      </c>
      <c r="AF44" s="425">
        <f t="shared" si="6"/>
        <v>0</v>
      </c>
      <c r="AG44" s="425">
        <f t="shared" si="7"/>
        <v>0</v>
      </c>
      <c r="AH44" s="425">
        <f t="shared" si="8"/>
        <v>0</v>
      </c>
      <c r="AI44" s="425">
        <f t="shared" si="9"/>
        <v>0</v>
      </c>
      <c r="AJ44" s="425">
        <f t="shared" si="10"/>
        <v>0</v>
      </c>
      <c r="AK44" s="425">
        <f t="shared" si="11"/>
        <v>0</v>
      </c>
      <c r="AM44" s="426">
        <f t="shared" si="12"/>
        <v>0</v>
      </c>
      <c r="AN44" s="425">
        <f t="shared" si="13"/>
        <v>0</v>
      </c>
      <c r="AO44" s="425">
        <f t="shared" si="14"/>
        <v>0</v>
      </c>
      <c r="AP44" s="425">
        <f t="shared" si="15"/>
        <v>0</v>
      </c>
      <c r="AQ44" s="425">
        <f t="shared" si="16"/>
        <v>0</v>
      </c>
      <c r="AR44" s="425">
        <f t="shared" si="17"/>
        <v>0</v>
      </c>
      <c r="AS44" s="425">
        <f t="shared" si="18"/>
        <v>0</v>
      </c>
      <c r="AT44" s="425">
        <f t="shared" si="19"/>
        <v>0</v>
      </c>
      <c r="AU44" s="425">
        <f t="shared" si="20"/>
        <v>0</v>
      </c>
      <c r="AW44" s="423">
        <f>p_f_ad</f>
        <v>0</v>
      </c>
      <c r="AY44" s="419">
        <f t="shared" si="57"/>
        <v>0</v>
      </c>
      <c r="AZ44" s="419">
        <f t="shared" si="58"/>
        <v>258.93</v>
      </c>
      <c r="BA44" s="419">
        <f t="shared" si="59"/>
        <v>849</v>
      </c>
      <c r="BB44" s="419">
        <f t="shared" si="60"/>
        <v>0</v>
      </c>
      <c r="BC44" s="419">
        <f t="shared" si="61"/>
        <v>0</v>
      </c>
      <c r="BE44" s="419">
        <f>wage_rate*sickdays_1_tx</f>
        <v>37.119999999999997</v>
      </c>
      <c r="BF44" s="419">
        <f>wage_rate*sickdays_2_tx</f>
        <v>53.359999999999992</v>
      </c>
      <c r="BG44" s="419">
        <f>wage_rate*sickdays_3_tx</f>
        <v>0</v>
      </c>
      <c r="BH44" s="443">
        <f>wage_rate*sickdays_4_tx</f>
        <v>0</v>
      </c>
    </row>
    <row r="45" spans="1:651">
      <c r="C45" s="8"/>
      <c r="D45" s="429" t="str">
        <f t="shared" ref="D45" si="65">_xlfn.CONCAT(F45,"_",G45,"_",I45,"_",K45,"_",M45)</f>
        <v>Real world scenario_Seek care_Other location_Other_Substandard Quality 3</v>
      </c>
      <c r="E45" s="429">
        <f t="shared" si="1"/>
        <v>1000000</v>
      </c>
      <c r="F45" s="429" t="s">
        <v>393</v>
      </c>
      <c r="G45" s="429" t="s">
        <v>371</v>
      </c>
      <c r="H45" s="430">
        <f t="shared" si="2"/>
        <v>0.35</v>
      </c>
      <c r="I45" s="429" t="s">
        <v>404</v>
      </c>
      <c r="J45" s="430">
        <f t="shared" si="62"/>
        <v>0</v>
      </c>
      <c r="K45" s="429" t="s">
        <v>59</v>
      </c>
      <c r="L45" s="430">
        <v>1</v>
      </c>
      <c r="M45" s="429" t="s">
        <v>400</v>
      </c>
      <c r="N45" s="430">
        <f>p_p1_other_f</f>
        <v>6.2E-2</v>
      </c>
      <c r="O45" s="429" t="s">
        <v>398</v>
      </c>
      <c r="P45" s="430">
        <f>1-p_updose_other</f>
        <v>1</v>
      </c>
      <c r="Q45" s="429">
        <f>H45*J45*L45*N45*P45</f>
        <v>0</v>
      </c>
      <c r="S45" s="425">
        <v>1</v>
      </c>
      <c r="U45" s="425">
        <f>ly_notx</f>
        <v>0</v>
      </c>
      <c r="V45" s="425">
        <f>qaly_notx</f>
        <v>0</v>
      </c>
      <c r="W45" s="425">
        <f>daly_notx</f>
        <v>0</v>
      </c>
      <c r="X45" s="425">
        <f>death_notx</f>
        <v>8.9999999999999993E-3</v>
      </c>
      <c r="Y45" s="425">
        <f>custom1_notx</f>
        <v>0.23</v>
      </c>
      <c r="Z45" s="425">
        <f>custom2_notx</f>
        <v>9.1999999999999998E-2</v>
      </c>
      <c r="AA45" s="425">
        <f>custom3_notx</f>
        <v>0</v>
      </c>
      <c r="AB45" s="425">
        <f>custom4_notx</f>
        <v>0</v>
      </c>
      <c r="AD45" s="425">
        <f t="shared" si="4"/>
        <v>0</v>
      </c>
      <c r="AE45" s="425">
        <f t="shared" si="5"/>
        <v>0</v>
      </c>
      <c r="AF45" s="425">
        <f t="shared" si="6"/>
        <v>0</v>
      </c>
      <c r="AG45" s="425">
        <f t="shared" si="7"/>
        <v>0</v>
      </c>
      <c r="AH45" s="425">
        <f t="shared" si="8"/>
        <v>0</v>
      </c>
      <c r="AI45" s="425">
        <f t="shared" si="9"/>
        <v>0</v>
      </c>
      <c r="AJ45" s="425">
        <f t="shared" si="10"/>
        <v>0</v>
      </c>
      <c r="AK45" s="425">
        <f t="shared" si="11"/>
        <v>0</v>
      </c>
      <c r="AM45" s="426">
        <f t="shared" si="12"/>
        <v>0</v>
      </c>
      <c r="AN45" s="425">
        <f t="shared" si="13"/>
        <v>0</v>
      </c>
      <c r="AO45" s="425">
        <f t="shared" si="14"/>
        <v>0</v>
      </c>
      <c r="AP45" s="425">
        <f t="shared" si="15"/>
        <v>0</v>
      </c>
      <c r="AQ45" s="425">
        <f t="shared" si="16"/>
        <v>0</v>
      </c>
      <c r="AR45" s="425">
        <f t="shared" si="17"/>
        <v>0</v>
      </c>
      <c r="AS45" s="425">
        <f t="shared" si="18"/>
        <v>0</v>
      </c>
      <c r="AT45" s="425">
        <f t="shared" si="19"/>
        <v>0</v>
      </c>
      <c r="AU45" s="425">
        <f t="shared" si="20"/>
        <v>0</v>
      </c>
      <c r="AW45" s="423">
        <f>p_f_ad</f>
        <v>0</v>
      </c>
      <c r="AY45" s="419">
        <f t="shared" si="57"/>
        <v>0</v>
      </c>
      <c r="AZ45" s="419">
        <f t="shared" si="58"/>
        <v>258.93</v>
      </c>
      <c r="BA45" s="419">
        <f t="shared" si="59"/>
        <v>849</v>
      </c>
      <c r="BB45" s="419">
        <f t="shared" si="60"/>
        <v>0</v>
      </c>
      <c r="BC45" s="419">
        <f t="shared" si="61"/>
        <v>0</v>
      </c>
      <c r="BE45" s="419">
        <f>wage_rate*sickdays_1_notx</f>
        <v>37.119999999999997</v>
      </c>
      <c r="BF45" s="419">
        <f>wage_rate*sickdays_2_notx</f>
        <v>53.359999999999992</v>
      </c>
      <c r="BG45" s="419">
        <f>wage_rate*sickdays_3_notx</f>
        <v>0</v>
      </c>
      <c r="BH45" s="443">
        <f>wage_rate*sickdays_4_notx</f>
        <v>0</v>
      </c>
    </row>
    <row r="46" spans="1:651">
      <c r="C46" s="8"/>
      <c r="D46" s="429" t="str">
        <f>_xlfn.CONCAT(F46,"_",G46,,I46,K46,M46)</f>
        <v>Real world scenario_Does not seek care</v>
      </c>
      <c r="E46" s="429">
        <f t="shared" si="1"/>
        <v>1000000</v>
      </c>
      <c r="F46" s="429" t="s">
        <v>393</v>
      </c>
      <c r="G46" s="429" t="s">
        <v>405</v>
      </c>
      <c r="H46" s="430">
        <f>1-pop_seek</f>
        <v>0.65</v>
      </c>
      <c r="I46" s="429"/>
      <c r="J46" s="430"/>
      <c r="K46" s="429"/>
      <c r="L46" s="430"/>
      <c r="M46" s="429"/>
      <c r="N46" s="430"/>
      <c r="O46" s="429"/>
      <c r="P46" s="430"/>
      <c r="Q46" s="429">
        <f>H46</f>
        <v>0.65</v>
      </c>
      <c r="S46" s="425">
        <v>0</v>
      </c>
      <c r="U46" s="425">
        <f>ly_notx</f>
        <v>0</v>
      </c>
      <c r="V46" s="425">
        <f>qaly_notx</f>
        <v>0</v>
      </c>
      <c r="W46" s="425">
        <f>daly_notx</f>
        <v>0</v>
      </c>
      <c r="X46" s="425">
        <f>death_notx</f>
        <v>8.9999999999999993E-3</v>
      </c>
      <c r="Y46" s="425">
        <f>custom1_notx</f>
        <v>0.23</v>
      </c>
      <c r="Z46" s="425">
        <f>custom2_notx</f>
        <v>9.1999999999999998E-2</v>
      </c>
      <c r="AA46" s="425">
        <f>custom3_notx</f>
        <v>0</v>
      </c>
      <c r="AB46" s="425">
        <f>custom3_notx</f>
        <v>0</v>
      </c>
      <c r="AD46" s="425">
        <f t="shared" si="4"/>
        <v>0</v>
      </c>
      <c r="AE46" s="425">
        <f t="shared" si="5"/>
        <v>0</v>
      </c>
      <c r="AF46" s="425">
        <f t="shared" si="6"/>
        <v>0</v>
      </c>
      <c r="AG46" s="425">
        <f t="shared" si="7"/>
        <v>5.8500000000000002E-3</v>
      </c>
      <c r="AH46" s="425">
        <f t="shared" si="8"/>
        <v>0.14950000000000002</v>
      </c>
      <c r="AI46" s="425">
        <f t="shared" si="9"/>
        <v>5.9799999999999999E-2</v>
      </c>
      <c r="AJ46" s="425">
        <f t="shared" si="10"/>
        <v>0</v>
      </c>
      <c r="AK46" s="425">
        <f t="shared" si="11"/>
        <v>0</v>
      </c>
      <c r="AM46" s="426">
        <f t="shared" si="12"/>
        <v>650000</v>
      </c>
      <c r="AN46" s="425">
        <f t="shared" si="13"/>
        <v>0</v>
      </c>
      <c r="AO46" s="425">
        <f t="shared" si="14"/>
        <v>0</v>
      </c>
      <c r="AP46" s="425">
        <f t="shared" si="15"/>
        <v>0</v>
      </c>
      <c r="AQ46" s="425">
        <f t="shared" si="16"/>
        <v>5850</v>
      </c>
      <c r="AR46" s="425">
        <f t="shared" si="17"/>
        <v>149500.00000000003</v>
      </c>
      <c r="AS46" s="425">
        <f t="shared" si="18"/>
        <v>59800</v>
      </c>
      <c r="AT46" s="425">
        <f t="shared" si="19"/>
        <v>0</v>
      </c>
      <c r="AU46" s="425">
        <f t="shared" si="20"/>
        <v>0</v>
      </c>
      <c r="AW46" s="423">
        <v>0</v>
      </c>
      <c r="AY46" s="419">
        <v>0</v>
      </c>
      <c r="AZ46" s="419">
        <v>0</v>
      </c>
      <c r="BA46" s="419">
        <v>0</v>
      </c>
      <c r="BB46" s="419">
        <v>0</v>
      </c>
      <c r="BC46" s="419">
        <v>0</v>
      </c>
      <c r="BE46" s="419">
        <f>wage_rate*sickdays_1_notx</f>
        <v>37.119999999999997</v>
      </c>
      <c r="BF46" s="419">
        <f>wage_rate*sickdays_2_notx</f>
        <v>53.359999999999992</v>
      </c>
      <c r="BG46" s="419">
        <f>wage_rate*sickdays_3_notx</f>
        <v>0</v>
      </c>
      <c r="BH46" s="443">
        <f>wage_rate*sickdays_4_notx</f>
        <v>0</v>
      </c>
    </row>
    <row r="47" spans="1:651" s="404" customFormat="1">
      <c r="A47" s="578"/>
      <c r="B47" s="579"/>
      <c r="C47" s="580"/>
      <c r="D47" s="432" t="s">
        <v>406</v>
      </c>
      <c r="E47" s="433"/>
      <c r="F47" s="434"/>
      <c r="G47" s="434"/>
      <c r="H47" s="424"/>
      <c r="I47" s="433"/>
      <c r="J47" s="424"/>
      <c r="K47" s="433"/>
      <c r="L47" s="424"/>
      <c r="M47" s="434"/>
      <c r="N47" s="424"/>
      <c r="O47" s="433"/>
      <c r="P47" s="424"/>
      <c r="Q47" s="442">
        <f>SUM(Q4:Q46)</f>
        <v>1</v>
      </c>
      <c r="R47" s="402"/>
      <c r="S47" s="427">
        <f>SUM(S4:S46)</f>
        <v>24</v>
      </c>
      <c r="T47" s="403"/>
      <c r="U47" s="427">
        <f t="shared" ref="U47:AB47" si="66">SUM(U4:U46)</f>
        <v>0</v>
      </c>
      <c r="V47" s="427">
        <f t="shared" si="66"/>
        <v>0</v>
      </c>
      <c r="W47" s="427">
        <f t="shared" si="66"/>
        <v>0</v>
      </c>
      <c r="X47" s="427">
        <f t="shared" si="66"/>
        <v>0.21060000000000006</v>
      </c>
      <c r="Y47" s="427">
        <f t="shared" si="66"/>
        <v>5.3330000000000028</v>
      </c>
      <c r="Z47" s="427">
        <f t="shared" si="66"/>
        <v>2.1332000000000004</v>
      </c>
      <c r="AA47" s="427">
        <f t="shared" si="66"/>
        <v>0</v>
      </c>
      <c r="AB47" s="427">
        <f t="shared" si="66"/>
        <v>0</v>
      </c>
      <c r="AC47" s="402"/>
      <c r="AD47" s="427">
        <f t="shared" ref="AD47:AK47" si="67">SUM(AD4:AD46)</f>
        <v>0</v>
      </c>
      <c r="AE47" s="427">
        <f t="shared" si="67"/>
        <v>0</v>
      </c>
      <c r="AF47" s="427">
        <f t="shared" si="67"/>
        <v>0</v>
      </c>
      <c r="AG47" s="427">
        <f t="shared" si="67"/>
        <v>7.1141999999999993E-3</v>
      </c>
      <c r="AH47" s="427">
        <f t="shared" si="67"/>
        <v>0.18128350000000001</v>
      </c>
      <c r="AI47" s="427">
        <f t="shared" si="67"/>
        <v>7.2513399999999992E-2</v>
      </c>
      <c r="AJ47" s="427">
        <f t="shared" si="67"/>
        <v>0</v>
      </c>
      <c r="AK47" s="427">
        <f t="shared" si="67"/>
        <v>0</v>
      </c>
      <c r="AM47" s="427">
        <f t="shared" ref="AM47:AU47" si="68">SUM(AM4:AM46)</f>
        <v>1000000</v>
      </c>
      <c r="AN47" s="427">
        <f t="shared" si="68"/>
        <v>0</v>
      </c>
      <c r="AO47" s="427">
        <f t="shared" si="68"/>
        <v>0</v>
      </c>
      <c r="AP47" s="427">
        <f t="shared" si="68"/>
        <v>0</v>
      </c>
      <c r="AQ47" s="427">
        <f t="shared" si="68"/>
        <v>7114.2</v>
      </c>
      <c r="AR47" s="427">
        <f t="shared" si="68"/>
        <v>181283.50000000003</v>
      </c>
      <c r="AS47" s="427">
        <f t="shared" si="68"/>
        <v>72513.399999999994</v>
      </c>
      <c r="AT47" s="427">
        <f t="shared" si="68"/>
        <v>0</v>
      </c>
      <c r="AU47" s="427">
        <f t="shared" si="68"/>
        <v>0</v>
      </c>
      <c r="AW47" s="424"/>
      <c r="AX47" s="402"/>
      <c r="AY47" s="420">
        <f>SUM(AY4:AY46)</f>
        <v>0</v>
      </c>
      <c r="AZ47" s="420">
        <f>SUM(AZ4:AZ46)</f>
        <v>10875.060000000007</v>
      </c>
      <c r="BA47" s="420">
        <f>SUM(BA4:BA46)</f>
        <v>35658</v>
      </c>
      <c r="BB47" s="420">
        <f>SUM(BB4:BB46)</f>
        <v>0</v>
      </c>
      <c r="BC47" s="420">
        <f>SUM(BC4:BC46)</f>
        <v>0</v>
      </c>
      <c r="BD47" s="365"/>
      <c r="BE47" s="420">
        <f>SUM(BE4:BE46)</f>
        <v>1596.1599999999983</v>
      </c>
      <c r="BF47" s="420">
        <f>SUM(BF4:BF46)</f>
        <v>2294.4799999999987</v>
      </c>
      <c r="BG47" s="420">
        <f>SUM(BG4:BG46)</f>
        <v>0</v>
      </c>
      <c r="BH47" s="444">
        <f>SUM(BH4:BH46)</f>
        <v>0</v>
      </c>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c r="EO47" s="79"/>
      <c r="EP47" s="79"/>
      <c r="EQ47" s="79"/>
      <c r="ER47" s="79"/>
      <c r="ES47" s="79"/>
      <c r="ET47" s="79"/>
      <c r="EU47" s="79"/>
      <c r="EV47" s="79"/>
      <c r="EW47" s="79"/>
      <c r="EX47" s="79"/>
      <c r="EY47" s="79"/>
      <c r="EZ47" s="79"/>
      <c r="FA47" s="79"/>
      <c r="FB47" s="79"/>
      <c r="FC47" s="79"/>
      <c r="FD47" s="79"/>
      <c r="FE47" s="79"/>
      <c r="FF47" s="79"/>
      <c r="FG47" s="79"/>
      <c r="FH47" s="79"/>
      <c r="FI47" s="79"/>
      <c r="FJ47" s="79"/>
      <c r="FK47" s="79"/>
      <c r="FL47" s="79"/>
      <c r="FM47" s="79"/>
      <c r="FN47" s="79"/>
      <c r="FO47" s="79"/>
      <c r="FP47" s="79"/>
      <c r="FQ47" s="79"/>
      <c r="FR47" s="79"/>
      <c r="FS47" s="79"/>
      <c r="FT47" s="79"/>
      <c r="FU47" s="79"/>
      <c r="FV47" s="79"/>
      <c r="FW47" s="79"/>
      <c r="FX47" s="79"/>
      <c r="FY47" s="79"/>
      <c r="FZ47" s="79"/>
      <c r="GA47" s="79"/>
      <c r="GB47" s="79"/>
      <c r="GC47" s="79"/>
      <c r="GD47" s="79"/>
      <c r="GE47" s="79"/>
      <c r="GF47" s="79"/>
      <c r="GG47" s="79"/>
      <c r="GH47" s="79"/>
      <c r="GI47" s="79"/>
      <c r="GJ47" s="79"/>
      <c r="GK47" s="79"/>
      <c r="GL47" s="79"/>
      <c r="GM47" s="79"/>
      <c r="GN47" s="79"/>
      <c r="GO47" s="79"/>
      <c r="GP47" s="79"/>
      <c r="GQ47" s="79"/>
      <c r="GR47" s="79"/>
      <c r="GS47" s="79"/>
      <c r="GT47" s="79"/>
      <c r="GU47" s="79"/>
      <c r="GV47" s="79"/>
      <c r="GW47" s="79"/>
      <c r="GX47" s="79"/>
      <c r="GY47" s="79"/>
      <c r="GZ47" s="79"/>
      <c r="HA47" s="79"/>
      <c r="HB47" s="79"/>
      <c r="HC47" s="79"/>
      <c r="HD47" s="79"/>
      <c r="HE47" s="79"/>
      <c r="HF47" s="79"/>
      <c r="HG47" s="79"/>
      <c r="HH47" s="79"/>
      <c r="HI47" s="79"/>
      <c r="HJ47" s="79"/>
      <c r="HK47" s="79"/>
      <c r="HL47" s="79"/>
      <c r="HM47" s="79"/>
      <c r="HN47" s="79"/>
      <c r="HO47" s="79"/>
      <c r="HP47" s="79"/>
      <c r="HQ47" s="79"/>
      <c r="HR47" s="79"/>
      <c r="HS47" s="79"/>
      <c r="HT47" s="79"/>
      <c r="HU47" s="79"/>
      <c r="HV47" s="79"/>
      <c r="HW47" s="79"/>
      <c r="HX47" s="79"/>
      <c r="HY47" s="79"/>
      <c r="HZ47" s="79"/>
      <c r="IA47" s="79"/>
      <c r="IB47" s="79"/>
      <c r="IC47" s="79"/>
      <c r="ID47" s="79"/>
      <c r="IE47" s="79"/>
      <c r="IF47" s="79"/>
      <c r="IG47" s="79"/>
      <c r="IH47" s="79"/>
      <c r="II47" s="79"/>
      <c r="IJ47" s="79"/>
      <c r="IK47" s="79"/>
      <c r="IL47" s="79"/>
      <c r="IM47" s="79"/>
      <c r="IN47" s="79"/>
      <c r="IO47" s="79"/>
      <c r="IP47" s="79"/>
      <c r="IQ47" s="79"/>
      <c r="IR47" s="79"/>
      <c r="IS47" s="79"/>
      <c r="IT47" s="79"/>
      <c r="IU47" s="79"/>
      <c r="IV47" s="79"/>
      <c r="IW47" s="79"/>
      <c r="IX47" s="79"/>
      <c r="IY47" s="79"/>
      <c r="IZ47" s="79"/>
      <c r="JA47" s="79"/>
      <c r="JB47" s="79"/>
      <c r="JC47" s="79"/>
      <c r="JD47" s="79"/>
      <c r="JE47" s="79"/>
      <c r="JF47" s="79"/>
      <c r="JG47" s="79"/>
      <c r="JH47" s="79"/>
      <c r="JI47" s="79"/>
      <c r="JJ47" s="79"/>
      <c r="JK47" s="79"/>
      <c r="JL47" s="79"/>
      <c r="JM47" s="79"/>
      <c r="JN47" s="79"/>
      <c r="JO47" s="79"/>
      <c r="JP47" s="79"/>
      <c r="JQ47" s="79"/>
      <c r="JR47" s="79"/>
      <c r="JS47" s="79"/>
      <c r="JT47" s="79"/>
      <c r="JU47" s="79"/>
      <c r="JV47" s="79"/>
      <c r="JW47" s="79"/>
      <c r="JX47" s="79"/>
      <c r="JY47" s="79"/>
      <c r="JZ47" s="79"/>
      <c r="KA47" s="79"/>
      <c r="KB47" s="79"/>
      <c r="KC47" s="79"/>
      <c r="KD47" s="79"/>
      <c r="KE47" s="79"/>
      <c r="KF47" s="79"/>
      <c r="KG47" s="79"/>
      <c r="KH47" s="79"/>
      <c r="KI47" s="79"/>
      <c r="KJ47" s="79"/>
      <c r="KK47" s="79"/>
      <c r="KL47" s="79"/>
      <c r="KM47" s="79"/>
      <c r="KN47" s="79"/>
      <c r="KO47" s="79"/>
      <c r="KP47" s="79"/>
      <c r="KQ47" s="79"/>
      <c r="KR47" s="79"/>
      <c r="KS47" s="79"/>
      <c r="KT47" s="79"/>
      <c r="KU47" s="79"/>
      <c r="KV47" s="79"/>
      <c r="KW47" s="79"/>
      <c r="KX47" s="79"/>
      <c r="KY47" s="79"/>
      <c r="KZ47" s="79"/>
      <c r="LA47" s="79"/>
      <c r="LB47" s="79"/>
      <c r="LC47" s="79"/>
      <c r="LD47" s="79"/>
      <c r="LE47" s="79"/>
      <c r="LF47" s="79"/>
      <c r="LG47" s="79"/>
      <c r="LH47" s="79"/>
      <c r="LI47" s="79"/>
      <c r="LJ47" s="79"/>
      <c r="LK47" s="79"/>
      <c r="LL47" s="79"/>
      <c r="LM47" s="79"/>
      <c r="LN47" s="79"/>
      <c r="LO47" s="79"/>
      <c r="LP47" s="79"/>
      <c r="LQ47" s="79"/>
      <c r="LR47" s="79"/>
      <c r="LS47" s="79"/>
      <c r="LT47" s="79"/>
      <c r="LU47" s="79"/>
      <c r="LV47" s="79"/>
      <c r="LW47" s="79"/>
      <c r="LX47" s="79"/>
      <c r="LY47" s="79"/>
      <c r="LZ47" s="79"/>
      <c r="MA47" s="79"/>
      <c r="MB47" s="79"/>
      <c r="MC47" s="79"/>
      <c r="MD47" s="79"/>
      <c r="ME47" s="79"/>
      <c r="MF47" s="79"/>
      <c r="MG47" s="79"/>
      <c r="MH47" s="79"/>
      <c r="MI47" s="79"/>
      <c r="MJ47" s="79"/>
      <c r="MK47" s="79"/>
      <c r="ML47" s="79"/>
      <c r="MM47" s="79"/>
      <c r="MN47" s="79"/>
      <c r="MO47" s="79"/>
      <c r="MP47" s="79"/>
      <c r="MQ47" s="79"/>
      <c r="MR47" s="79"/>
      <c r="MS47" s="79"/>
      <c r="MT47" s="79"/>
      <c r="MU47" s="79"/>
      <c r="MV47" s="79"/>
      <c r="MW47" s="79"/>
      <c r="MX47" s="79"/>
      <c r="MY47" s="79"/>
      <c r="MZ47" s="79"/>
      <c r="NA47" s="79"/>
      <c r="NB47" s="79"/>
      <c r="NC47" s="79"/>
      <c r="ND47" s="79"/>
      <c r="NE47" s="79"/>
      <c r="NF47" s="79"/>
      <c r="NG47" s="79"/>
      <c r="NH47" s="79"/>
      <c r="NI47" s="79"/>
      <c r="NJ47" s="79"/>
      <c r="NK47" s="79"/>
      <c r="NL47" s="79"/>
      <c r="NM47" s="79"/>
      <c r="NN47" s="79"/>
      <c r="NO47" s="79"/>
      <c r="NP47" s="79"/>
      <c r="NQ47" s="79"/>
      <c r="NR47" s="79"/>
      <c r="NS47" s="79"/>
      <c r="NT47" s="79"/>
      <c r="NU47" s="79"/>
      <c r="NV47" s="79"/>
      <c r="NW47" s="79"/>
      <c r="NX47" s="79"/>
      <c r="NY47" s="79"/>
      <c r="NZ47" s="79"/>
      <c r="OA47" s="79"/>
      <c r="OB47" s="79"/>
      <c r="OC47" s="79"/>
      <c r="OD47" s="79"/>
      <c r="OE47" s="79"/>
      <c r="OF47" s="79"/>
      <c r="OG47" s="79"/>
      <c r="OH47" s="79"/>
      <c r="OI47" s="79"/>
      <c r="OJ47" s="79"/>
      <c r="OK47" s="79"/>
      <c r="OL47" s="79"/>
      <c r="OM47" s="79"/>
      <c r="ON47" s="79"/>
      <c r="OO47" s="79"/>
      <c r="OP47" s="79"/>
      <c r="OQ47" s="79"/>
      <c r="OR47" s="79"/>
      <c r="OS47" s="79"/>
      <c r="OT47" s="79"/>
      <c r="OU47" s="79"/>
      <c r="OV47" s="79"/>
      <c r="OW47" s="79"/>
      <c r="OX47" s="79"/>
      <c r="OY47" s="79"/>
      <c r="OZ47" s="79"/>
      <c r="PA47" s="79"/>
      <c r="PB47" s="79"/>
      <c r="PC47" s="79"/>
      <c r="PD47" s="79"/>
      <c r="PE47" s="79"/>
      <c r="PF47" s="79"/>
      <c r="PG47" s="79"/>
      <c r="PH47" s="79"/>
      <c r="PI47" s="79"/>
      <c r="PJ47" s="79"/>
      <c r="PK47" s="79"/>
      <c r="PL47" s="79"/>
      <c r="PM47" s="79"/>
      <c r="PN47" s="79"/>
      <c r="PO47" s="79"/>
      <c r="PP47" s="79"/>
      <c r="PQ47" s="79"/>
      <c r="PR47" s="79"/>
      <c r="PS47" s="79"/>
      <c r="PT47" s="79"/>
      <c r="PU47" s="79"/>
      <c r="PV47" s="79"/>
      <c r="PW47" s="79"/>
      <c r="PX47" s="79"/>
      <c r="PY47" s="79"/>
      <c r="PZ47" s="79"/>
      <c r="QA47" s="79"/>
      <c r="QB47" s="79"/>
      <c r="QC47" s="79"/>
      <c r="QD47" s="79"/>
      <c r="QE47" s="79"/>
      <c r="QF47" s="79"/>
      <c r="QG47" s="79"/>
      <c r="QH47" s="79"/>
      <c r="QI47" s="79"/>
      <c r="QJ47" s="79"/>
      <c r="QK47" s="79"/>
      <c r="QL47" s="79"/>
      <c r="QM47" s="79"/>
      <c r="QN47" s="79"/>
      <c r="QO47" s="79"/>
      <c r="QP47" s="79"/>
      <c r="QQ47" s="79"/>
      <c r="QR47" s="79"/>
      <c r="QS47" s="79"/>
      <c r="QT47" s="79"/>
      <c r="QU47" s="79"/>
      <c r="QV47" s="79"/>
      <c r="QW47" s="79"/>
      <c r="QX47" s="79"/>
      <c r="QY47" s="79"/>
      <c r="QZ47" s="79"/>
      <c r="RA47" s="79"/>
      <c r="RB47" s="79"/>
      <c r="RC47" s="79"/>
      <c r="RD47" s="79"/>
      <c r="RE47" s="79"/>
      <c r="RF47" s="79"/>
      <c r="RG47" s="79"/>
      <c r="RH47" s="79"/>
      <c r="RI47" s="79"/>
      <c r="RJ47" s="79"/>
      <c r="RK47" s="79"/>
      <c r="RL47" s="79"/>
      <c r="RM47" s="79"/>
      <c r="RN47" s="79"/>
      <c r="RO47" s="79"/>
      <c r="RP47" s="79"/>
      <c r="RQ47" s="79"/>
      <c r="RR47" s="79"/>
      <c r="RS47" s="79"/>
      <c r="RT47" s="79"/>
      <c r="RU47" s="79"/>
      <c r="RV47" s="79"/>
      <c r="RW47" s="79"/>
      <c r="RX47" s="79"/>
      <c r="RY47" s="79"/>
      <c r="RZ47" s="79"/>
      <c r="SA47" s="79"/>
      <c r="SB47" s="79"/>
      <c r="SC47" s="79"/>
      <c r="SD47" s="79"/>
      <c r="SE47" s="79"/>
      <c r="SF47" s="79"/>
      <c r="SG47" s="79"/>
      <c r="SH47" s="79"/>
      <c r="SI47" s="79"/>
      <c r="SJ47" s="79"/>
      <c r="SK47" s="79"/>
      <c r="SL47" s="79"/>
      <c r="SM47" s="79"/>
      <c r="SN47" s="79"/>
      <c r="SO47" s="79"/>
      <c r="SP47" s="79"/>
      <c r="SQ47" s="79"/>
      <c r="SR47" s="79"/>
      <c r="SS47" s="79"/>
      <c r="ST47" s="79"/>
      <c r="SU47" s="79"/>
      <c r="SV47" s="79"/>
      <c r="SW47" s="79"/>
      <c r="SX47" s="79"/>
      <c r="SY47" s="79"/>
      <c r="SZ47" s="79"/>
      <c r="TA47" s="79"/>
      <c r="TB47" s="79"/>
      <c r="TC47" s="79"/>
      <c r="TD47" s="79"/>
      <c r="TE47" s="79"/>
      <c r="TF47" s="79"/>
      <c r="TG47" s="79"/>
      <c r="TH47" s="79"/>
      <c r="TI47" s="79"/>
      <c r="TJ47" s="79"/>
      <c r="TK47" s="79"/>
      <c r="TL47" s="79"/>
      <c r="TM47" s="79"/>
      <c r="TN47" s="79"/>
      <c r="TO47" s="79"/>
      <c r="TP47" s="79"/>
      <c r="TQ47" s="79"/>
      <c r="TR47" s="79"/>
      <c r="TS47" s="79"/>
      <c r="TT47" s="79"/>
      <c r="TU47" s="79"/>
      <c r="TV47" s="79"/>
      <c r="TW47" s="79"/>
      <c r="TX47" s="79"/>
      <c r="TY47" s="79"/>
      <c r="TZ47" s="79"/>
      <c r="UA47" s="79"/>
      <c r="UB47" s="79"/>
      <c r="UC47" s="79"/>
      <c r="UD47" s="79"/>
      <c r="UE47" s="79"/>
      <c r="UF47" s="79"/>
      <c r="UG47" s="79"/>
      <c r="UH47" s="79"/>
      <c r="UI47" s="79"/>
      <c r="UJ47" s="79"/>
      <c r="UK47" s="79"/>
      <c r="UL47" s="79"/>
      <c r="UM47" s="79"/>
      <c r="UN47" s="79"/>
      <c r="UO47" s="79"/>
      <c r="UP47" s="79"/>
      <c r="UQ47" s="79"/>
      <c r="UR47" s="79"/>
      <c r="US47" s="79"/>
      <c r="UT47" s="79"/>
      <c r="UU47" s="79"/>
      <c r="UV47" s="79"/>
      <c r="UW47" s="79"/>
      <c r="UX47" s="79"/>
      <c r="UY47" s="79"/>
      <c r="UZ47" s="79"/>
      <c r="VA47" s="79"/>
      <c r="VB47" s="79"/>
      <c r="VC47" s="79"/>
      <c r="VD47" s="79"/>
      <c r="VE47" s="79"/>
      <c r="VF47" s="79"/>
      <c r="VG47" s="79"/>
      <c r="VH47" s="79"/>
      <c r="VI47" s="79"/>
      <c r="VJ47" s="79"/>
      <c r="VK47" s="79"/>
      <c r="VL47" s="79"/>
      <c r="VM47" s="79"/>
      <c r="VN47" s="79"/>
      <c r="VO47" s="79"/>
      <c r="VP47" s="79"/>
      <c r="VQ47" s="79"/>
      <c r="VR47" s="79"/>
      <c r="VS47" s="79"/>
      <c r="VT47" s="79"/>
      <c r="VU47" s="79"/>
      <c r="VV47" s="79"/>
      <c r="VW47" s="79"/>
      <c r="VX47" s="79"/>
      <c r="VY47" s="79"/>
      <c r="VZ47" s="79"/>
      <c r="WA47" s="79"/>
      <c r="WB47" s="79"/>
      <c r="WC47" s="79"/>
      <c r="WD47" s="79"/>
      <c r="WE47" s="79"/>
      <c r="WF47" s="79"/>
      <c r="WG47" s="79"/>
      <c r="WH47" s="79"/>
      <c r="WI47" s="79"/>
      <c r="WJ47" s="79"/>
      <c r="WK47" s="79"/>
      <c r="WL47" s="79"/>
      <c r="WM47" s="79"/>
      <c r="WN47" s="79"/>
      <c r="WO47" s="79"/>
      <c r="WP47" s="79"/>
      <c r="WQ47" s="79"/>
      <c r="WR47" s="79"/>
      <c r="WS47" s="79"/>
      <c r="WT47" s="79"/>
      <c r="WU47" s="79"/>
      <c r="WV47" s="79"/>
      <c r="WW47" s="79"/>
      <c r="WX47" s="79"/>
      <c r="WY47" s="79"/>
      <c r="WZ47" s="79"/>
      <c r="XA47" s="79"/>
      <c r="XB47" s="79"/>
      <c r="XC47" s="79"/>
      <c r="XD47" s="79"/>
      <c r="XE47" s="79"/>
      <c r="XF47" s="79"/>
      <c r="XG47" s="79"/>
      <c r="XH47" s="79"/>
      <c r="XI47" s="79"/>
      <c r="XJ47" s="79"/>
      <c r="XK47" s="79"/>
      <c r="XL47" s="79"/>
      <c r="XM47" s="79"/>
      <c r="XN47" s="79"/>
      <c r="XO47" s="79"/>
      <c r="XP47" s="79"/>
      <c r="XQ47" s="79"/>
      <c r="XR47" s="79"/>
      <c r="XS47" s="79"/>
      <c r="XT47" s="79"/>
      <c r="XU47" s="79"/>
      <c r="XV47" s="79"/>
      <c r="XW47" s="79"/>
      <c r="XX47" s="79"/>
      <c r="XY47" s="79"/>
      <c r="XZ47" s="79"/>
      <c r="YA47" s="79"/>
    </row>
    <row r="48" spans="1:651" s="89" customFormat="1">
      <c r="B48" s="406"/>
      <c r="D48" s="407"/>
      <c r="E48" s="407"/>
      <c r="F48" s="407"/>
      <c r="G48" s="407"/>
      <c r="H48" s="408"/>
      <c r="I48" s="407"/>
      <c r="J48" s="408"/>
      <c r="K48" s="407"/>
      <c r="L48" s="408"/>
      <c r="M48" s="407"/>
      <c r="N48" s="408"/>
      <c r="O48" s="407"/>
      <c r="P48" s="408"/>
      <c r="Q48" s="407"/>
      <c r="S48" s="363"/>
      <c r="U48" s="363"/>
      <c r="V48" s="363"/>
      <c r="W48" s="363"/>
      <c r="X48" s="363"/>
      <c r="Y48" s="363"/>
      <c r="Z48" s="363"/>
      <c r="AA48" s="363"/>
      <c r="AB48" s="363"/>
      <c r="AD48" s="363"/>
      <c r="AE48" s="363"/>
      <c r="AF48" s="363"/>
      <c r="AG48" s="363"/>
      <c r="AH48" s="363"/>
      <c r="AI48" s="363"/>
      <c r="AJ48" s="363"/>
      <c r="AK48" s="428"/>
      <c r="AM48" s="363"/>
      <c r="AN48" s="363"/>
      <c r="AO48" s="363"/>
      <c r="AP48" s="363"/>
      <c r="AQ48" s="363"/>
      <c r="AR48" s="363"/>
      <c r="AS48" s="363"/>
      <c r="AT48" s="363"/>
      <c r="AU48" s="363"/>
      <c r="AW48" s="422"/>
      <c r="AY48" s="417"/>
      <c r="AZ48" s="417"/>
      <c r="BA48" s="417"/>
      <c r="BB48" s="417"/>
      <c r="BC48" s="418"/>
      <c r="BD48" s="79"/>
      <c r="BE48" s="416"/>
      <c r="BF48" s="417"/>
      <c r="BG48" s="417"/>
      <c r="BH48" s="418"/>
      <c r="BI48" s="79"/>
      <c r="BJ48" s="79"/>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c r="EO48" s="79"/>
      <c r="EP48" s="79"/>
      <c r="EQ48" s="79"/>
      <c r="ER48" s="79"/>
      <c r="ES48" s="79"/>
      <c r="ET48" s="79"/>
      <c r="EU48" s="79"/>
      <c r="EV48" s="79"/>
      <c r="EW48" s="79"/>
      <c r="EX48" s="79"/>
      <c r="EY48" s="79"/>
      <c r="EZ48" s="79"/>
      <c r="FA48" s="79"/>
      <c r="FB48" s="79"/>
      <c r="FC48" s="79"/>
      <c r="FD48" s="79"/>
      <c r="FE48" s="79"/>
      <c r="FF48" s="79"/>
      <c r="FG48" s="79"/>
      <c r="FH48" s="79"/>
      <c r="FI48" s="79"/>
      <c r="FJ48" s="79"/>
      <c r="FK48" s="79"/>
      <c r="FL48" s="79"/>
      <c r="FM48" s="79"/>
      <c r="FN48" s="79"/>
      <c r="FO48" s="79"/>
      <c r="FP48" s="79"/>
      <c r="FQ48" s="79"/>
      <c r="FR48" s="79"/>
      <c r="FS48" s="79"/>
      <c r="FT48" s="79"/>
      <c r="FU48" s="79"/>
      <c r="FV48" s="79"/>
      <c r="FW48" s="79"/>
      <c r="FX48" s="79"/>
      <c r="FY48" s="79"/>
      <c r="FZ48" s="79"/>
      <c r="GA48" s="79"/>
      <c r="GB48" s="79"/>
      <c r="GC48" s="79"/>
      <c r="GD48" s="79"/>
      <c r="GE48" s="79"/>
      <c r="GF48" s="79"/>
      <c r="GG48" s="79"/>
      <c r="GH48" s="79"/>
      <c r="GI48" s="79"/>
      <c r="GJ48" s="79"/>
      <c r="GK48" s="79"/>
      <c r="GL48" s="79"/>
      <c r="GM48" s="79"/>
      <c r="GN48" s="79"/>
      <c r="GO48" s="79"/>
      <c r="GP48" s="79"/>
      <c r="GQ48" s="79"/>
      <c r="GR48" s="79"/>
      <c r="GS48" s="79"/>
      <c r="GT48" s="79"/>
      <c r="GU48" s="79"/>
      <c r="GV48" s="79"/>
      <c r="GW48" s="79"/>
      <c r="GX48" s="79"/>
      <c r="GY48" s="79"/>
      <c r="GZ48" s="79"/>
      <c r="HA48" s="79"/>
      <c r="HB48" s="79"/>
      <c r="HC48" s="79"/>
      <c r="HD48" s="79"/>
      <c r="HE48" s="79"/>
      <c r="HF48" s="79"/>
      <c r="HG48" s="79"/>
      <c r="HH48" s="79"/>
      <c r="HI48" s="79"/>
      <c r="HJ48" s="79"/>
      <c r="HK48" s="79"/>
      <c r="HL48" s="79"/>
      <c r="HM48" s="79"/>
      <c r="HN48" s="79"/>
      <c r="HO48" s="79"/>
      <c r="HP48" s="79"/>
      <c r="HQ48" s="79"/>
      <c r="HR48" s="79"/>
      <c r="HS48" s="79"/>
      <c r="HT48" s="79"/>
      <c r="HU48" s="79"/>
      <c r="HV48" s="79"/>
      <c r="HW48" s="79"/>
      <c r="HX48" s="79"/>
      <c r="HY48" s="79"/>
      <c r="HZ48" s="79"/>
      <c r="IA48" s="79"/>
      <c r="IB48" s="79"/>
      <c r="IC48" s="79"/>
      <c r="ID48" s="79"/>
      <c r="IE48" s="79"/>
      <c r="IF48" s="79"/>
      <c r="IG48" s="79"/>
      <c r="IH48" s="79"/>
      <c r="II48" s="79"/>
      <c r="IJ48" s="79"/>
      <c r="IK48" s="79"/>
      <c r="IL48" s="79"/>
      <c r="IM48" s="79"/>
      <c r="IN48" s="79"/>
      <c r="IO48" s="79"/>
      <c r="IP48" s="79"/>
      <c r="IQ48" s="79"/>
      <c r="IR48" s="79"/>
      <c r="IS48" s="79"/>
      <c r="IT48" s="79"/>
      <c r="IU48" s="79"/>
      <c r="IV48" s="79"/>
      <c r="IW48" s="79"/>
      <c r="IX48" s="79"/>
      <c r="IY48" s="79"/>
      <c r="IZ48" s="79"/>
      <c r="JA48" s="79"/>
      <c r="JB48" s="79"/>
      <c r="JC48" s="79"/>
      <c r="JD48" s="79"/>
      <c r="JE48" s="79"/>
      <c r="JF48" s="79"/>
      <c r="JG48" s="79"/>
      <c r="JH48" s="79"/>
      <c r="JI48" s="79"/>
      <c r="JJ48" s="79"/>
      <c r="JK48" s="79"/>
      <c r="JL48" s="79"/>
      <c r="JM48" s="79"/>
      <c r="JN48" s="79"/>
      <c r="JO48" s="79"/>
      <c r="JP48" s="79"/>
      <c r="JQ48" s="79"/>
      <c r="JR48" s="79"/>
      <c r="JS48" s="79"/>
      <c r="JT48" s="79"/>
      <c r="JU48" s="79"/>
      <c r="JV48" s="79"/>
      <c r="JW48" s="79"/>
      <c r="JX48" s="79"/>
      <c r="JY48" s="79"/>
      <c r="JZ48" s="79"/>
      <c r="KA48" s="79"/>
      <c r="KB48" s="79"/>
      <c r="KC48" s="79"/>
      <c r="KD48" s="79"/>
      <c r="KE48" s="79"/>
      <c r="KF48" s="79"/>
      <c r="KG48" s="79"/>
      <c r="KH48" s="79"/>
      <c r="KI48" s="79"/>
      <c r="KJ48" s="79"/>
      <c r="KK48" s="79"/>
      <c r="KL48" s="79"/>
      <c r="KM48" s="79"/>
      <c r="KN48" s="79"/>
      <c r="KO48" s="79"/>
      <c r="KP48" s="79"/>
      <c r="KQ48" s="79"/>
      <c r="KR48" s="79"/>
      <c r="KS48" s="79"/>
      <c r="KT48" s="79"/>
      <c r="KU48" s="79"/>
      <c r="KV48" s="79"/>
      <c r="KW48" s="79"/>
      <c r="KX48" s="79"/>
      <c r="KY48" s="79"/>
      <c r="KZ48" s="79"/>
      <c r="LA48" s="79"/>
      <c r="LB48" s="79"/>
      <c r="LC48" s="79"/>
      <c r="LD48" s="79"/>
      <c r="LE48" s="79"/>
      <c r="LF48" s="79"/>
      <c r="LG48" s="79"/>
      <c r="LH48" s="79"/>
      <c r="LI48" s="79"/>
      <c r="LJ48" s="79"/>
      <c r="LK48" s="79"/>
      <c r="LL48" s="79"/>
      <c r="LM48" s="79"/>
      <c r="LN48" s="79"/>
      <c r="LO48" s="79"/>
      <c r="LP48" s="79"/>
      <c r="LQ48" s="79"/>
      <c r="LR48" s="79"/>
      <c r="LS48" s="79"/>
      <c r="LT48" s="79"/>
      <c r="LU48" s="79"/>
      <c r="LV48" s="79"/>
      <c r="LW48" s="79"/>
      <c r="LX48" s="79"/>
      <c r="LY48" s="79"/>
      <c r="LZ48" s="79"/>
      <c r="MA48" s="79"/>
      <c r="MB48" s="79"/>
      <c r="MC48" s="79"/>
      <c r="MD48" s="79"/>
      <c r="ME48" s="79"/>
      <c r="MF48" s="79"/>
      <c r="MG48" s="79"/>
      <c r="MH48" s="79"/>
      <c r="MI48" s="79"/>
      <c r="MJ48" s="79"/>
      <c r="MK48" s="79"/>
      <c r="ML48" s="79"/>
      <c r="MM48" s="79"/>
      <c r="MN48" s="79"/>
      <c r="MO48" s="79"/>
      <c r="MP48" s="79"/>
      <c r="MQ48" s="79"/>
      <c r="MR48" s="79"/>
      <c r="MS48" s="79"/>
      <c r="MT48" s="79"/>
      <c r="MU48" s="79"/>
      <c r="MV48" s="79"/>
      <c r="MW48" s="79"/>
      <c r="MX48" s="79"/>
      <c r="MY48" s="79"/>
      <c r="MZ48" s="79"/>
      <c r="NA48" s="79"/>
      <c r="NB48" s="79"/>
      <c r="NC48" s="79"/>
      <c r="ND48" s="79"/>
      <c r="NE48" s="79"/>
      <c r="NF48" s="79"/>
      <c r="NG48" s="79"/>
      <c r="NH48" s="79"/>
      <c r="NI48" s="79"/>
      <c r="NJ48" s="79"/>
      <c r="NK48" s="79"/>
      <c r="NL48" s="79"/>
      <c r="NM48" s="79"/>
      <c r="NN48" s="79"/>
      <c r="NO48" s="79"/>
      <c r="NP48" s="79"/>
      <c r="NQ48" s="79"/>
      <c r="NR48" s="79"/>
      <c r="NS48" s="79"/>
      <c r="NT48" s="79"/>
      <c r="NU48" s="79"/>
      <c r="NV48" s="79"/>
      <c r="NW48" s="79"/>
      <c r="NX48" s="79"/>
      <c r="NY48" s="79"/>
      <c r="NZ48" s="79"/>
      <c r="OA48" s="79"/>
      <c r="OB48" s="79"/>
      <c r="OC48" s="79"/>
      <c r="OD48" s="79"/>
      <c r="OE48" s="79"/>
      <c r="OF48" s="79"/>
      <c r="OG48" s="79"/>
      <c r="OH48" s="79"/>
      <c r="OI48" s="79"/>
      <c r="OJ48" s="79"/>
      <c r="OK48" s="79"/>
      <c r="OL48" s="79"/>
      <c r="OM48" s="79"/>
      <c r="ON48" s="79"/>
      <c r="OO48" s="79"/>
      <c r="OP48" s="79"/>
      <c r="OQ48" s="79"/>
      <c r="OR48" s="79"/>
      <c r="OS48" s="79"/>
      <c r="OT48" s="79"/>
      <c r="OU48" s="79"/>
      <c r="OV48" s="79"/>
      <c r="OW48" s="79"/>
      <c r="OX48" s="79"/>
      <c r="OY48" s="79"/>
      <c r="OZ48" s="79"/>
      <c r="PA48" s="79"/>
      <c r="PB48" s="79"/>
      <c r="PC48" s="79"/>
      <c r="PD48" s="79"/>
      <c r="PE48" s="79"/>
      <c r="PF48" s="79"/>
      <c r="PG48" s="79"/>
      <c r="PH48" s="79"/>
      <c r="PI48" s="79"/>
      <c r="PJ48" s="79"/>
      <c r="PK48" s="79"/>
      <c r="PL48" s="79"/>
      <c r="PM48" s="79"/>
      <c r="PN48" s="79"/>
      <c r="PO48" s="79"/>
      <c r="PP48" s="79"/>
      <c r="PQ48" s="79"/>
      <c r="PR48" s="79"/>
      <c r="PS48" s="79"/>
      <c r="PT48" s="79"/>
      <c r="PU48" s="79"/>
      <c r="PV48" s="79"/>
      <c r="PW48" s="79"/>
      <c r="PX48" s="79"/>
      <c r="PY48" s="79"/>
      <c r="PZ48" s="79"/>
      <c r="QA48" s="79"/>
      <c r="QB48" s="79"/>
      <c r="QC48" s="79"/>
      <c r="QD48" s="79"/>
      <c r="QE48" s="79"/>
      <c r="QF48" s="79"/>
      <c r="QG48" s="79"/>
      <c r="QH48" s="79"/>
      <c r="QI48" s="79"/>
      <c r="QJ48" s="79"/>
      <c r="QK48" s="79"/>
      <c r="QL48" s="79"/>
      <c r="QM48" s="79"/>
      <c r="QN48" s="79"/>
      <c r="QO48" s="79"/>
      <c r="QP48" s="79"/>
      <c r="QQ48" s="79"/>
      <c r="QR48" s="79"/>
      <c r="QS48" s="79"/>
      <c r="QT48" s="79"/>
      <c r="QU48" s="79"/>
      <c r="QV48" s="79"/>
      <c r="QW48" s="79"/>
      <c r="QX48" s="79"/>
      <c r="QY48" s="79"/>
      <c r="QZ48" s="79"/>
      <c r="RA48" s="79"/>
      <c r="RB48" s="79"/>
      <c r="RC48" s="79"/>
      <c r="RD48" s="79"/>
      <c r="RE48" s="79"/>
      <c r="RF48" s="79"/>
      <c r="RG48" s="79"/>
      <c r="RH48" s="79"/>
      <c r="RI48" s="79"/>
      <c r="RJ48" s="79"/>
      <c r="RK48" s="79"/>
      <c r="RL48" s="79"/>
      <c r="RM48" s="79"/>
      <c r="RN48" s="79"/>
      <c r="RO48" s="79"/>
      <c r="RP48" s="79"/>
      <c r="RQ48" s="79"/>
      <c r="RR48" s="79"/>
      <c r="RS48" s="79"/>
      <c r="RT48" s="79"/>
      <c r="RU48" s="79"/>
      <c r="RV48" s="79"/>
      <c r="RW48" s="79"/>
      <c r="RX48" s="79"/>
      <c r="RY48" s="79"/>
      <c r="RZ48" s="79"/>
      <c r="SA48" s="79"/>
      <c r="SB48" s="79"/>
      <c r="SC48" s="79"/>
      <c r="SD48" s="79"/>
      <c r="SE48" s="79"/>
      <c r="SF48" s="79"/>
      <c r="SG48" s="79"/>
      <c r="SH48" s="79"/>
      <c r="SI48" s="79"/>
      <c r="SJ48" s="79"/>
      <c r="SK48" s="79"/>
      <c r="SL48" s="79"/>
      <c r="SM48" s="79"/>
      <c r="SN48" s="79"/>
      <c r="SO48" s="79"/>
      <c r="SP48" s="79"/>
      <c r="SQ48" s="79"/>
      <c r="SR48" s="79"/>
      <c r="SS48" s="79"/>
      <c r="ST48" s="79"/>
      <c r="SU48" s="79"/>
      <c r="SV48" s="79"/>
      <c r="SW48" s="79"/>
      <c r="SX48" s="79"/>
      <c r="SY48" s="79"/>
      <c r="SZ48" s="79"/>
      <c r="TA48" s="79"/>
      <c r="TB48" s="79"/>
      <c r="TC48" s="79"/>
      <c r="TD48" s="79"/>
      <c r="TE48" s="79"/>
      <c r="TF48" s="79"/>
      <c r="TG48" s="79"/>
      <c r="TH48" s="79"/>
      <c r="TI48" s="79"/>
      <c r="TJ48" s="79"/>
      <c r="TK48" s="79"/>
      <c r="TL48" s="79"/>
      <c r="TM48" s="79"/>
      <c r="TN48" s="79"/>
      <c r="TO48" s="79"/>
      <c r="TP48" s="79"/>
      <c r="TQ48" s="79"/>
      <c r="TR48" s="79"/>
      <c r="TS48" s="79"/>
      <c r="TT48" s="79"/>
      <c r="TU48" s="79"/>
      <c r="TV48" s="79"/>
      <c r="TW48" s="79"/>
      <c r="TX48" s="79"/>
      <c r="TY48" s="79"/>
      <c r="TZ48" s="79"/>
      <c r="UA48" s="79"/>
      <c r="UB48" s="79"/>
      <c r="UC48" s="79"/>
      <c r="UD48" s="79"/>
      <c r="UE48" s="79"/>
      <c r="UF48" s="79"/>
      <c r="UG48" s="79"/>
      <c r="UH48" s="79"/>
      <c r="UI48" s="79"/>
      <c r="UJ48" s="79"/>
      <c r="UK48" s="79"/>
      <c r="UL48" s="79"/>
      <c r="UM48" s="79"/>
      <c r="UN48" s="79"/>
      <c r="UO48" s="79"/>
      <c r="UP48" s="79"/>
      <c r="UQ48" s="79"/>
      <c r="UR48" s="79"/>
      <c r="US48" s="79"/>
      <c r="UT48" s="79"/>
      <c r="UU48" s="79"/>
      <c r="UV48" s="79"/>
      <c r="UW48" s="79"/>
      <c r="UX48" s="79"/>
      <c r="UY48" s="79"/>
      <c r="UZ48" s="79"/>
      <c r="VA48" s="79"/>
      <c r="VB48" s="79"/>
      <c r="VC48" s="79"/>
      <c r="VD48" s="79"/>
      <c r="VE48" s="79"/>
      <c r="VF48" s="79"/>
      <c r="VG48" s="79"/>
      <c r="VH48" s="79"/>
      <c r="VI48" s="79"/>
      <c r="VJ48" s="79"/>
      <c r="VK48" s="79"/>
      <c r="VL48" s="79"/>
      <c r="VM48" s="79"/>
      <c r="VN48" s="79"/>
      <c r="VO48" s="79"/>
      <c r="VP48" s="79"/>
      <c r="VQ48" s="79"/>
      <c r="VR48" s="79"/>
      <c r="VS48" s="79"/>
      <c r="VT48" s="79"/>
      <c r="VU48" s="79"/>
      <c r="VV48" s="79"/>
      <c r="VW48" s="79"/>
      <c r="VX48" s="79"/>
      <c r="VY48" s="79"/>
      <c r="VZ48" s="79"/>
      <c r="WA48" s="79"/>
      <c r="WB48" s="79"/>
      <c r="WC48" s="79"/>
      <c r="WD48" s="79"/>
      <c r="WE48" s="79"/>
      <c r="WF48" s="79"/>
      <c r="WG48" s="79"/>
      <c r="WH48" s="79"/>
      <c r="WI48" s="79"/>
      <c r="WJ48" s="79"/>
      <c r="WK48" s="79"/>
      <c r="WL48" s="79"/>
      <c r="WM48" s="79"/>
      <c r="WN48" s="79"/>
      <c r="WO48" s="79"/>
      <c r="WP48" s="79"/>
      <c r="WQ48" s="79"/>
      <c r="WR48" s="79"/>
      <c r="WS48" s="79"/>
      <c r="WT48" s="79"/>
      <c r="WU48" s="79"/>
      <c r="WV48" s="79"/>
      <c r="WW48" s="79"/>
      <c r="WX48" s="79"/>
      <c r="WY48" s="79"/>
      <c r="WZ48" s="79"/>
      <c r="XA48" s="79"/>
      <c r="XB48" s="79"/>
      <c r="XC48" s="79"/>
      <c r="XD48" s="79"/>
      <c r="XE48" s="79"/>
      <c r="XF48" s="79"/>
      <c r="XG48" s="79"/>
      <c r="XH48" s="79"/>
      <c r="XI48" s="79"/>
      <c r="XJ48" s="79"/>
      <c r="XK48" s="79"/>
      <c r="XL48" s="79"/>
      <c r="XM48" s="79"/>
      <c r="XN48" s="79"/>
      <c r="XO48" s="79"/>
      <c r="XP48" s="79"/>
      <c r="XQ48" s="79"/>
      <c r="XR48" s="79"/>
      <c r="XS48" s="79"/>
      <c r="XT48" s="79"/>
      <c r="XU48" s="79"/>
      <c r="XV48" s="79"/>
      <c r="XW48" s="79"/>
      <c r="XX48" s="79"/>
      <c r="XY48" s="79"/>
      <c r="XZ48" s="79"/>
      <c r="YA48" s="79"/>
    </row>
    <row r="49" spans="1:651" s="89" customFormat="1">
      <c r="B49" s="406"/>
      <c r="D49" s="409"/>
      <c r="E49" s="409"/>
      <c r="F49" s="409"/>
      <c r="G49" s="409"/>
      <c r="H49" s="410"/>
      <c r="I49" s="409"/>
      <c r="J49" s="410"/>
      <c r="K49" s="409"/>
      <c r="L49" s="410"/>
      <c r="M49" s="409"/>
      <c r="N49" s="410"/>
      <c r="O49" s="409"/>
      <c r="P49" s="410"/>
      <c r="Q49" s="409"/>
      <c r="S49" s="263"/>
      <c r="U49" s="263"/>
      <c r="V49" s="263"/>
      <c r="W49" s="263"/>
      <c r="X49" s="263"/>
      <c r="Y49" s="263"/>
      <c r="Z49" s="263"/>
      <c r="AA49" s="263"/>
      <c r="AB49" s="263"/>
      <c r="AD49" s="263"/>
      <c r="AE49" s="263"/>
      <c r="AF49" s="263"/>
      <c r="AG49" s="263"/>
      <c r="AH49" s="263"/>
      <c r="AI49" s="263"/>
      <c r="AJ49" s="263"/>
      <c r="AK49" s="263"/>
      <c r="AM49" s="263"/>
      <c r="AN49" s="263"/>
      <c r="AO49" s="263"/>
      <c r="AP49" s="263"/>
      <c r="AQ49" s="263"/>
      <c r="AR49" s="263"/>
      <c r="AS49" s="263"/>
      <c r="AT49" s="263"/>
      <c r="AU49" s="263"/>
      <c r="AW49" s="421"/>
      <c r="AY49" s="414"/>
      <c r="AZ49" s="414"/>
      <c r="BA49" s="414"/>
      <c r="BB49" s="414"/>
      <c r="BC49" s="415"/>
      <c r="BD49" s="79"/>
      <c r="BE49" s="413"/>
      <c r="BF49" s="414"/>
      <c r="BG49" s="414"/>
      <c r="BH49" s="415"/>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c r="EO49" s="79"/>
      <c r="EP49" s="79"/>
      <c r="EQ49" s="79"/>
      <c r="ER49" s="79"/>
      <c r="ES49" s="79"/>
      <c r="ET49" s="79"/>
      <c r="EU49" s="79"/>
      <c r="EV49" s="79"/>
      <c r="EW49" s="79"/>
      <c r="EX49" s="79"/>
      <c r="EY49" s="79"/>
      <c r="EZ49" s="79"/>
      <c r="FA49" s="79"/>
      <c r="FB49" s="79"/>
      <c r="FC49" s="79"/>
      <c r="FD49" s="79"/>
      <c r="FE49" s="79"/>
      <c r="FF49" s="79"/>
      <c r="FG49" s="79"/>
      <c r="FH49" s="79"/>
      <c r="FI49" s="79"/>
      <c r="FJ49" s="79"/>
      <c r="FK49" s="79"/>
      <c r="FL49" s="79"/>
      <c r="FM49" s="79"/>
      <c r="FN49" s="79"/>
      <c r="FO49" s="79"/>
      <c r="FP49" s="79"/>
      <c r="FQ49" s="79"/>
      <c r="FR49" s="79"/>
      <c r="FS49" s="79"/>
      <c r="FT49" s="79"/>
      <c r="FU49" s="79"/>
      <c r="FV49" s="79"/>
      <c r="FW49" s="79"/>
      <c r="FX49" s="79"/>
      <c r="FY49" s="79"/>
      <c r="FZ49" s="79"/>
      <c r="GA49" s="79"/>
      <c r="GB49" s="79"/>
      <c r="GC49" s="79"/>
      <c r="GD49" s="79"/>
      <c r="GE49" s="79"/>
      <c r="GF49" s="79"/>
      <c r="GG49" s="79"/>
      <c r="GH49" s="79"/>
      <c r="GI49" s="79"/>
      <c r="GJ49" s="79"/>
      <c r="GK49" s="79"/>
      <c r="GL49" s="79"/>
      <c r="GM49" s="79"/>
      <c r="GN49" s="79"/>
      <c r="GO49" s="79"/>
      <c r="GP49" s="79"/>
      <c r="GQ49" s="79"/>
      <c r="GR49" s="79"/>
      <c r="GS49" s="79"/>
      <c r="GT49" s="79"/>
      <c r="GU49" s="79"/>
      <c r="GV49" s="79"/>
      <c r="GW49" s="79"/>
      <c r="GX49" s="79"/>
      <c r="GY49" s="79"/>
      <c r="GZ49" s="79"/>
      <c r="HA49" s="79"/>
      <c r="HB49" s="79"/>
      <c r="HC49" s="79"/>
      <c r="HD49" s="79"/>
      <c r="HE49" s="79"/>
      <c r="HF49" s="79"/>
      <c r="HG49" s="79"/>
      <c r="HH49" s="79"/>
      <c r="HI49" s="79"/>
      <c r="HJ49" s="79"/>
      <c r="HK49" s="79"/>
      <c r="HL49" s="79"/>
      <c r="HM49" s="79"/>
      <c r="HN49" s="79"/>
      <c r="HO49" s="79"/>
      <c r="HP49" s="79"/>
      <c r="HQ49" s="79"/>
      <c r="HR49" s="79"/>
      <c r="HS49" s="79"/>
      <c r="HT49" s="79"/>
      <c r="HU49" s="79"/>
      <c r="HV49" s="79"/>
      <c r="HW49" s="79"/>
      <c r="HX49" s="79"/>
      <c r="HY49" s="79"/>
      <c r="HZ49" s="79"/>
      <c r="IA49" s="79"/>
      <c r="IB49" s="79"/>
      <c r="IC49" s="79"/>
      <c r="ID49" s="79"/>
      <c r="IE49" s="79"/>
      <c r="IF49" s="79"/>
      <c r="IG49" s="79"/>
      <c r="IH49" s="79"/>
      <c r="II49" s="79"/>
      <c r="IJ49" s="79"/>
      <c r="IK49" s="79"/>
      <c r="IL49" s="79"/>
      <c r="IM49" s="79"/>
      <c r="IN49" s="79"/>
      <c r="IO49" s="79"/>
      <c r="IP49" s="79"/>
      <c r="IQ49" s="79"/>
      <c r="IR49" s="79"/>
      <c r="IS49" s="79"/>
      <c r="IT49" s="79"/>
      <c r="IU49" s="79"/>
      <c r="IV49" s="79"/>
      <c r="IW49" s="79"/>
      <c r="IX49" s="79"/>
      <c r="IY49" s="79"/>
      <c r="IZ49" s="79"/>
      <c r="JA49" s="79"/>
      <c r="JB49" s="79"/>
      <c r="JC49" s="79"/>
      <c r="JD49" s="79"/>
      <c r="JE49" s="79"/>
      <c r="JF49" s="79"/>
      <c r="JG49" s="79"/>
      <c r="JH49" s="79"/>
      <c r="JI49" s="79"/>
      <c r="JJ49" s="79"/>
      <c r="JK49" s="79"/>
      <c r="JL49" s="79"/>
      <c r="JM49" s="79"/>
      <c r="JN49" s="79"/>
      <c r="JO49" s="79"/>
      <c r="JP49" s="79"/>
      <c r="JQ49" s="79"/>
      <c r="JR49" s="79"/>
      <c r="JS49" s="79"/>
      <c r="JT49" s="79"/>
      <c r="JU49" s="79"/>
      <c r="JV49" s="79"/>
      <c r="JW49" s="79"/>
      <c r="JX49" s="79"/>
      <c r="JY49" s="79"/>
      <c r="JZ49" s="79"/>
      <c r="KA49" s="79"/>
      <c r="KB49" s="79"/>
      <c r="KC49" s="79"/>
      <c r="KD49" s="79"/>
      <c r="KE49" s="79"/>
      <c r="KF49" s="79"/>
      <c r="KG49" s="79"/>
      <c r="KH49" s="79"/>
      <c r="KI49" s="79"/>
      <c r="KJ49" s="79"/>
      <c r="KK49" s="79"/>
      <c r="KL49" s="79"/>
      <c r="KM49" s="79"/>
      <c r="KN49" s="79"/>
      <c r="KO49" s="79"/>
      <c r="KP49" s="79"/>
      <c r="KQ49" s="79"/>
      <c r="KR49" s="79"/>
      <c r="KS49" s="79"/>
      <c r="KT49" s="79"/>
      <c r="KU49" s="79"/>
      <c r="KV49" s="79"/>
      <c r="KW49" s="79"/>
      <c r="KX49" s="79"/>
      <c r="KY49" s="79"/>
      <c r="KZ49" s="79"/>
      <c r="LA49" s="79"/>
      <c r="LB49" s="79"/>
      <c r="LC49" s="79"/>
      <c r="LD49" s="79"/>
      <c r="LE49" s="79"/>
      <c r="LF49" s="79"/>
      <c r="LG49" s="79"/>
      <c r="LH49" s="79"/>
      <c r="LI49" s="79"/>
      <c r="LJ49" s="79"/>
      <c r="LK49" s="79"/>
      <c r="LL49" s="79"/>
      <c r="LM49" s="79"/>
      <c r="LN49" s="79"/>
      <c r="LO49" s="79"/>
      <c r="LP49" s="79"/>
      <c r="LQ49" s="79"/>
      <c r="LR49" s="79"/>
      <c r="LS49" s="79"/>
      <c r="LT49" s="79"/>
      <c r="LU49" s="79"/>
      <c r="LV49" s="79"/>
      <c r="LW49" s="79"/>
      <c r="LX49" s="79"/>
      <c r="LY49" s="79"/>
      <c r="LZ49" s="79"/>
      <c r="MA49" s="79"/>
      <c r="MB49" s="79"/>
      <c r="MC49" s="79"/>
      <c r="MD49" s="79"/>
      <c r="ME49" s="79"/>
      <c r="MF49" s="79"/>
      <c r="MG49" s="79"/>
      <c r="MH49" s="79"/>
      <c r="MI49" s="79"/>
      <c r="MJ49" s="79"/>
      <c r="MK49" s="79"/>
      <c r="ML49" s="79"/>
      <c r="MM49" s="79"/>
      <c r="MN49" s="79"/>
      <c r="MO49" s="79"/>
      <c r="MP49" s="79"/>
      <c r="MQ49" s="79"/>
      <c r="MR49" s="79"/>
      <c r="MS49" s="79"/>
      <c r="MT49" s="79"/>
      <c r="MU49" s="79"/>
      <c r="MV49" s="79"/>
      <c r="MW49" s="79"/>
      <c r="MX49" s="79"/>
      <c r="MY49" s="79"/>
      <c r="MZ49" s="79"/>
      <c r="NA49" s="79"/>
      <c r="NB49" s="79"/>
      <c r="NC49" s="79"/>
      <c r="ND49" s="79"/>
      <c r="NE49" s="79"/>
      <c r="NF49" s="79"/>
      <c r="NG49" s="79"/>
      <c r="NH49" s="79"/>
      <c r="NI49" s="79"/>
      <c r="NJ49" s="79"/>
      <c r="NK49" s="79"/>
      <c r="NL49" s="79"/>
      <c r="NM49" s="79"/>
      <c r="NN49" s="79"/>
      <c r="NO49" s="79"/>
      <c r="NP49" s="79"/>
      <c r="NQ49" s="79"/>
      <c r="NR49" s="79"/>
      <c r="NS49" s="79"/>
      <c r="NT49" s="79"/>
      <c r="NU49" s="79"/>
      <c r="NV49" s="79"/>
      <c r="NW49" s="79"/>
      <c r="NX49" s="79"/>
      <c r="NY49" s="79"/>
      <c r="NZ49" s="79"/>
      <c r="OA49" s="79"/>
      <c r="OB49" s="79"/>
      <c r="OC49" s="79"/>
      <c r="OD49" s="79"/>
      <c r="OE49" s="79"/>
      <c r="OF49" s="79"/>
      <c r="OG49" s="79"/>
      <c r="OH49" s="79"/>
      <c r="OI49" s="79"/>
      <c r="OJ49" s="79"/>
      <c r="OK49" s="79"/>
      <c r="OL49" s="79"/>
      <c r="OM49" s="79"/>
      <c r="ON49" s="79"/>
      <c r="OO49" s="79"/>
      <c r="OP49" s="79"/>
      <c r="OQ49" s="79"/>
      <c r="OR49" s="79"/>
      <c r="OS49" s="79"/>
      <c r="OT49" s="79"/>
      <c r="OU49" s="79"/>
      <c r="OV49" s="79"/>
      <c r="OW49" s="79"/>
      <c r="OX49" s="79"/>
      <c r="OY49" s="79"/>
      <c r="OZ49" s="79"/>
      <c r="PA49" s="79"/>
      <c r="PB49" s="79"/>
      <c r="PC49" s="79"/>
      <c r="PD49" s="79"/>
      <c r="PE49" s="79"/>
      <c r="PF49" s="79"/>
      <c r="PG49" s="79"/>
      <c r="PH49" s="79"/>
      <c r="PI49" s="79"/>
      <c r="PJ49" s="79"/>
      <c r="PK49" s="79"/>
      <c r="PL49" s="79"/>
      <c r="PM49" s="79"/>
      <c r="PN49" s="79"/>
      <c r="PO49" s="79"/>
      <c r="PP49" s="79"/>
      <c r="PQ49" s="79"/>
      <c r="PR49" s="79"/>
      <c r="PS49" s="79"/>
      <c r="PT49" s="79"/>
      <c r="PU49" s="79"/>
      <c r="PV49" s="79"/>
      <c r="PW49" s="79"/>
      <c r="PX49" s="79"/>
      <c r="PY49" s="79"/>
      <c r="PZ49" s="79"/>
      <c r="QA49" s="79"/>
      <c r="QB49" s="79"/>
      <c r="QC49" s="79"/>
      <c r="QD49" s="79"/>
      <c r="QE49" s="79"/>
      <c r="QF49" s="79"/>
      <c r="QG49" s="79"/>
      <c r="QH49" s="79"/>
      <c r="QI49" s="79"/>
      <c r="QJ49" s="79"/>
      <c r="QK49" s="79"/>
      <c r="QL49" s="79"/>
      <c r="QM49" s="79"/>
      <c r="QN49" s="79"/>
      <c r="QO49" s="79"/>
      <c r="QP49" s="79"/>
      <c r="QQ49" s="79"/>
      <c r="QR49" s="79"/>
      <c r="QS49" s="79"/>
      <c r="QT49" s="79"/>
      <c r="QU49" s="79"/>
      <c r="QV49" s="79"/>
      <c r="QW49" s="79"/>
      <c r="QX49" s="79"/>
      <c r="QY49" s="79"/>
      <c r="QZ49" s="79"/>
      <c r="RA49" s="79"/>
      <c r="RB49" s="79"/>
      <c r="RC49" s="79"/>
      <c r="RD49" s="79"/>
      <c r="RE49" s="79"/>
      <c r="RF49" s="79"/>
      <c r="RG49" s="79"/>
      <c r="RH49" s="79"/>
      <c r="RI49" s="79"/>
      <c r="RJ49" s="79"/>
      <c r="RK49" s="79"/>
      <c r="RL49" s="79"/>
      <c r="RM49" s="79"/>
      <c r="RN49" s="79"/>
      <c r="RO49" s="79"/>
      <c r="RP49" s="79"/>
      <c r="RQ49" s="79"/>
      <c r="RR49" s="79"/>
      <c r="RS49" s="79"/>
      <c r="RT49" s="79"/>
      <c r="RU49" s="79"/>
      <c r="RV49" s="79"/>
      <c r="RW49" s="79"/>
      <c r="RX49" s="79"/>
      <c r="RY49" s="79"/>
      <c r="RZ49" s="79"/>
      <c r="SA49" s="79"/>
      <c r="SB49" s="79"/>
      <c r="SC49" s="79"/>
      <c r="SD49" s="79"/>
      <c r="SE49" s="79"/>
      <c r="SF49" s="79"/>
      <c r="SG49" s="79"/>
      <c r="SH49" s="79"/>
      <c r="SI49" s="79"/>
      <c r="SJ49" s="79"/>
      <c r="SK49" s="79"/>
      <c r="SL49" s="79"/>
      <c r="SM49" s="79"/>
      <c r="SN49" s="79"/>
      <c r="SO49" s="79"/>
      <c r="SP49" s="79"/>
      <c r="SQ49" s="79"/>
      <c r="SR49" s="79"/>
      <c r="SS49" s="79"/>
      <c r="ST49" s="79"/>
      <c r="SU49" s="79"/>
      <c r="SV49" s="79"/>
      <c r="SW49" s="79"/>
      <c r="SX49" s="79"/>
      <c r="SY49" s="79"/>
      <c r="SZ49" s="79"/>
      <c r="TA49" s="79"/>
      <c r="TB49" s="79"/>
      <c r="TC49" s="79"/>
      <c r="TD49" s="79"/>
      <c r="TE49" s="79"/>
      <c r="TF49" s="79"/>
      <c r="TG49" s="79"/>
      <c r="TH49" s="79"/>
      <c r="TI49" s="79"/>
      <c r="TJ49" s="79"/>
      <c r="TK49" s="79"/>
      <c r="TL49" s="79"/>
      <c r="TM49" s="79"/>
      <c r="TN49" s="79"/>
      <c r="TO49" s="79"/>
      <c r="TP49" s="79"/>
      <c r="TQ49" s="79"/>
      <c r="TR49" s="79"/>
      <c r="TS49" s="79"/>
      <c r="TT49" s="79"/>
      <c r="TU49" s="79"/>
      <c r="TV49" s="79"/>
      <c r="TW49" s="79"/>
      <c r="TX49" s="79"/>
      <c r="TY49" s="79"/>
      <c r="TZ49" s="79"/>
      <c r="UA49" s="79"/>
      <c r="UB49" s="79"/>
      <c r="UC49" s="79"/>
      <c r="UD49" s="79"/>
      <c r="UE49" s="79"/>
      <c r="UF49" s="79"/>
      <c r="UG49" s="79"/>
      <c r="UH49" s="79"/>
      <c r="UI49" s="79"/>
      <c r="UJ49" s="79"/>
      <c r="UK49" s="79"/>
      <c r="UL49" s="79"/>
      <c r="UM49" s="79"/>
      <c r="UN49" s="79"/>
      <c r="UO49" s="79"/>
      <c r="UP49" s="79"/>
      <c r="UQ49" s="79"/>
      <c r="UR49" s="79"/>
      <c r="US49" s="79"/>
      <c r="UT49" s="79"/>
      <c r="UU49" s="79"/>
      <c r="UV49" s="79"/>
      <c r="UW49" s="79"/>
      <c r="UX49" s="79"/>
      <c r="UY49" s="79"/>
      <c r="UZ49" s="79"/>
      <c r="VA49" s="79"/>
      <c r="VB49" s="79"/>
      <c r="VC49" s="79"/>
      <c r="VD49" s="79"/>
      <c r="VE49" s="79"/>
      <c r="VF49" s="79"/>
      <c r="VG49" s="79"/>
      <c r="VH49" s="79"/>
      <c r="VI49" s="79"/>
      <c r="VJ49" s="79"/>
      <c r="VK49" s="79"/>
      <c r="VL49" s="79"/>
      <c r="VM49" s="79"/>
      <c r="VN49" s="79"/>
      <c r="VO49" s="79"/>
      <c r="VP49" s="79"/>
      <c r="VQ49" s="79"/>
      <c r="VR49" s="79"/>
      <c r="VS49" s="79"/>
      <c r="VT49" s="79"/>
      <c r="VU49" s="79"/>
      <c r="VV49" s="79"/>
      <c r="VW49" s="79"/>
      <c r="VX49" s="79"/>
      <c r="VY49" s="79"/>
      <c r="VZ49" s="79"/>
      <c r="WA49" s="79"/>
      <c r="WB49" s="79"/>
      <c r="WC49" s="79"/>
      <c r="WD49" s="79"/>
      <c r="WE49" s="79"/>
      <c r="WF49" s="79"/>
      <c r="WG49" s="79"/>
      <c r="WH49" s="79"/>
      <c r="WI49" s="79"/>
      <c r="WJ49" s="79"/>
      <c r="WK49" s="79"/>
      <c r="WL49" s="79"/>
      <c r="WM49" s="79"/>
      <c r="WN49" s="79"/>
      <c r="WO49" s="79"/>
      <c r="WP49" s="79"/>
      <c r="WQ49" s="79"/>
      <c r="WR49" s="79"/>
      <c r="WS49" s="79"/>
      <c r="WT49" s="79"/>
      <c r="WU49" s="79"/>
      <c r="WV49" s="79"/>
      <c r="WW49" s="79"/>
      <c r="WX49" s="79"/>
      <c r="WY49" s="79"/>
      <c r="WZ49" s="79"/>
      <c r="XA49" s="79"/>
      <c r="XB49" s="79"/>
      <c r="XC49" s="79"/>
      <c r="XD49" s="79"/>
      <c r="XE49" s="79"/>
      <c r="XF49" s="79"/>
      <c r="XG49" s="79"/>
      <c r="XH49" s="79"/>
      <c r="XI49" s="79"/>
      <c r="XJ49" s="79"/>
      <c r="XK49" s="79"/>
      <c r="XL49" s="79"/>
      <c r="XM49" s="79"/>
      <c r="XN49" s="79"/>
      <c r="XO49" s="79"/>
      <c r="XP49" s="79"/>
      <c r="XQ49" s="79"/>
      <c r="XR49" s="79"/>
      <c r="XS49" s="79"/>
      <c r="XT49" s="79"/>
      <c r="XU49" s="79"/>
      <c r="XV49" s="79"/>
      <c r="XW49" s="79"/>
      <c r="XX49" s="79"/>
      <c r="XY49" s="79"/>
      <c r="XZ49" s="79"/>
      <c r="YA49" s="79"/>
    </row>
    <row r="50" spans="1:651">
      <c r="A50" s="4"/>
      <c r="B50" s="405"/>
      <c r="C50" s="13"/>
      <c r="D50" s="429" t="str">
        <f>_xlfn.CONCAT(F50,"_",G50,"_",I50,"_",K50,M50)</f>
        <v>Ideal medicine Quality_Seek care_Public location_HospitalStandard Quality</v>
      </c>
      <c r="E50" s="429">
        <f t="shared" ref="E50:E74" si="69">pop_elig</f>
        <v>1000000</v>
      </c>
      <c r="F50" s="429" t="s">
        <v>407</v>
      </c>
      <c r="G50" s="429" t="s">
        <v>371</v>
      </c>
      <c r="H50" s="430">
        <f t="shared" ref="H50:H73" si="70">pop_seek</f>
        <v>0.35</v>
      </c>
      <c r="I50" s="429" t="s">
        <v>394</v>
      </c>
      <c r="J50" s="430">
        <f t="shared" ref="J50:J57" si="71">pop_receive_pub</f>
        <v>0.5</v>
      </c>
      <c r="K50" s="429" t="s">
        <v>395</v>
      </c>
      <c r="L50" s="430">
        <f t="shared" ref="L50:L53" si="72">p_pub_hos</f>
        <v>0.5</v>
      </c>
      <c r="M50" s="429" t="s">
        <v>23</v>
      </c>
      <c r="N50" s="430">
        <f>p_p2_pubh_st</f>
        <v>1</v>
      </c>
      <c r="O50" s="429" t="s">
        <v>396</v>
      </c>
      <c r="P50" s="430" t="s">
        <v>396</v>
      </c>
      <c r="Q50" s="429">
        <f>H50*J50*L50*N50</f>
        <v>8.7499999999999994E-2</v>
      </c>
      <c r="S50" s="425">
        <v>1</v>
      </c>
      <c r="U50" s="425">
        <f>ly_tx</f>
        <v>0</v>
      </c>
      <c r="V50" s="425">
        <f>qaly_tx</f>
        <v>0</v>
      </c>
      <c r="W50" s="425">
        <f>daly_tx</f>
        <v>0</v>
      </c>
      <c r="X50" s="425">
        <f>death_tx</f>
        <v>3.0000000000000001E-3</v>
      </c>
      <c r="Y50" s="425">
        <f>custom1_tx</f>
        <v>7.4999999999999997E-2</v>
      </c>
      <c r="Z50" s="425">
        <f>custom2_tx</f>
        <v>0.03</v>
      </c>
      <c r="AA50" s="425">
        <f>custom3_tx</f>
        <v>0</v>
      </c>
      <c r="AB50" s="411">
        <f>custom4_tx</f>
        <v>0</v>
      </c>
      <c r="AD50" s="425">
        <f t="shared" ref="AD50:AD74" si="73">Q50*U50</f>
        <v>0</v>
      </c>
      <c r="AE50" s="425">
        <f t="shared" ref="AE50:AE74" si="74">Q50*V50</f>
        <v>0</v>
      </c>
      <c r="AF50" s="425">
        <f t="shared" ref="AF50:AF74" si="75">Q50*W50</f>
        <v>0</v>
      </c>
      <c r="AG50" s="425">
        <f t="shared" ref="AG50:AG74" si="76">Q50*X50</f>
        <v>2.6249999999999998E-4</v>
      </c>
      <c r="AH50" s="425">
        <f t="shared" ref="AH50:AH74" si="77">Q50*Y50</f>
        <v>6.5624999999999998E-3</v>
      </c>
      <c r="AI50" s="425">
        <f t="shared" ref="AI50:AI74" si="78">Q50*Z50</f>
        <v>2.6249999999999997E-3</v>
      </c>
      <c r="AJ50" s="425">
        <f t="shared" ref="AJ50:AJ74" si="79">Q50*AA50</f>
        <v>0</v>
      </c>
      <c r="AK50" s="425">
        <f t="shared" ref="AK50:AK74" si="80">Q50*AB50</f>
        <v>0</v>
      </c>
      <c r="AM50" s="425">
        <f t="shared" ref="AM50:AM74" si="81">Q50*E50</f>
        <v>87500</v>
      </c>
      <c r="AN50" s="425">
        <f t="shared" ref="AN50:AN74" si="82">E50*AD50</f>
        <v>0</v>
      </c>
      <c r="AO50" s="425">
        <f t="shared" ref="AO50:AO74" si="83">E50*AE50</f>
        <v>0</v>
      </c>
      <c r="AP50" s="425">
        <f t="shared" ref="AP50:AP74" si="84">E50*AF50</f>
        <v>0</v>
      </c>
      <c r="AQ50" s="425">
        <f t="shared" ref="AQ50:AQ74" si="85">E50*AG50</f>
        <v>262.5</v>
      </c>
      <c r="AR50" s="425">
        <f t="shared" ref="AR50:AR74" si="86">E50*AH50</f>
        <v>6562.5</v>
      </c>
      <c r="AS50" s="425">
        <f t="shared" ref="AS50:AS74" si="87">E50*AI50</f>
        <v>2624.9999999999995</v>
      </c>
      <c r="AT50" s="425">
        <f t="shared" ref="AT50:AT74" si="88">E50*AJ50</f>
        <v>0</v>
      </c>
      <c r="AU50" s="425">
        <f t="shared" ref="AU50:AU74" si="89">E50*AK50</f>
        <v>0</v>
      </c>
      <c r="AW50" s="425" t="s">
        <v>396</v>
      </c>
      <c r="AY50" s="419">
        <f>IF(AND(I50="Public location", K50="Hospital"),c_drug_pub_hos, c_drug_pub_phar)</f>
        <v>0</v>
      </c>
      <c r="AZ50" s="419">
        <f t="shared" ref="AZ50:AZ57" si="90">_xlfn.SINGLE(IF(AND(N50="Public location", T50="Hospital"),c_custom1_pubhosp, c_custom1_pubhc))</f>
        <v>258.93</v>
      </c>
      <c r="BA50" s="419">
        <f t="shared" ref="BA50:BA57" si="91">_xlfn.SINGLE(IF(AND(Q50="Public location", U50="Hospital"),c_custom2_pubhosp, c_custom2_pubhc))</f>
        <v>849</v>
      </c>
      <c r="BB50" s="419">
        <f t="shared" ref="BB50:BB57" si="92">_xlfn.SINGLE(IF(AND(T50="Public location", V50="Hospital"),c_custom3_pubhosp, c_custom3_pubhc))</f>
        <v>0</v>
      </c>
      <c r="BC50" s="419">
        <f t="shared" ref="BC50:BC57" si="93">_xlfn.SINGLE(IF(AND(U50="Public location", W50="Hospital"),c_custom4_pubhosp, c_custom4_pubhc))</f>
        <v>0</v>
      </c>
      <c r="BE50" s="419">
        <f>wage_rate*sickdays_1_tx</f>
        <v>37.119999999999997</v>
      </c>
      <c r="BF50" s="419">
        <f>wage_rate*sickdays_2_tx</f>
        <v>53.359999999999992</v>
      </c>
      <c r="BG50" s="419">
        <f>wage_rate*sickdays_3_tx</f>
        <v>0</v>
      </c>
      <c r="BH50" s="443">
        <f>wage_rate*sickdays_4_tx</f>
        <v>0</v>
      </c>
    </row>
    <row r="51" spans="1:651">
      <c r="C51" s="8"/>
      <c r="D51" s="429" t="str">
        <f t="shared" ref="D51:D69" si="94">_xlfn.CONCAT(F51,"_",G51,"_",I51,"_",K51,"_",M51)</f>
        <v>Ideal medicine Quality_Seek care_Public location_Hospital_Substandard Quality1</v>
      </c>
      <c r="E51" s="429">
        <f t="shared" si="69"/>
        <v>1000000</v>
      </c>
      <c r="F51" s="429" t="s">
        <v>407</v>
      </c>
      <c r="G51" s="429" t="s">
        <v>371</v>
      </c>
      <c r="H51" s="430">
        <f t="shared" si="70"/>
        <v>0.35</v>
      </c>
      <c r="I51" s="429" t="s">
        <v>394</v>
      </c>
      <c r="J51" s="430">
        <f t="shared" si="71"/>
        <v>0.5</v>
      </c>
      <c r="K51" s="429" t="s">
        <v>395</v>
      </c>
      <c r="L51" s="430">
        <f t="shared" si="72"/>
        <v>0.5</v>
      </c>
      <c r="M51" s="429" t="s">
        <v>397</v>
      </c>
      <c r="N51" s="430">
        <f>p_p2_pubh_ss1</f>
        <v>0</v>
      </c>
      <c r="O51" s="429" t="s">
        <v>396</v>
      </c>
      <c r="P51" s="430" t="s">
        <v>396</v>
      </c>
      <c r="Q51" s="429">
        <f t="shared" ref="Q51:Q73" si="95">H51*J51*L51*N51</f>
        <v>0</v>
      </c>
      <c r="S51" s="425">
        <v>1</v>
      </c>
      <c r="U51" s="425">
        <f>(ly_tx-ly_notx)*p_txeff_ss1_s+ly_notx</f>
        <v>0</v>
      </c>
      <c r="V51" s="425">
        <f>(qaly_tx-qaly_notx)*p_txeff_ss1_s+qaly_notx</f>
        <v>0</v>
      </c>
      <c r="W51" s="425">
        <f>(daly_tx-daly_notx)*p_txeff_ss1_s+daly_notx</f>
        <v>0</v>
      </c>
      <c r="X51" s="425">
        <f>(death_tx-death_notx)*p_txeff_ss1_s+death_notx</f>
        <v>5.4000000000000003E-3</v>
      </c>
      <c r="Y51" s="425">
        <f>(custom1_tx-custom1_notx)*p_txeff_ss1_s+custom1_notx</f>
        <v>0.13700000000000001</v>
      </c>
      <c r="Z51" s="425">
        <f>(custom2_tx-custom2_notx)*p_txeff_ss1_s+custom2_notx</f>
        <v>5.4800000000000001E-2</v>
      </c>
      <c r="AA51" s="425">
        <f>(custom3_tx-custom3_notx)*p_txeff_ss1_s+custom3_notx</f>
        <v>0</v>
      </c>
      <c r="AB51" s="411">
        <f>(custom4_tx-custom4_notx)*p_txeff_ss1_s+custom4_notx</f>
        <v>0</v>
      </c>
      <c r="AD51" s="425">
        <f t="shared" si="73"/>
        <v>0</v>
      </c>
      <c r="AE51" s="425">
        <f t="shared" si="74"/>
        <v>0</v>
      </c>
      <c r="AF51" s="425">
        <f t="shared" si="75"/>
        <v>0</v>
      </c>
      <c r="AG51" s="425">
        <f t="shared" si="76"/>
        <v>0</v>
      </c>
      <c r="AH51" s="425">
        <f t="shared" si="77"/>
        <v>0</v>
      </c>
      <c r="AI51" s="425">
        <f t="shared" si="78"/>
        <v>0</v>
      </c>
      <c r="AJ51" s="425">
        <f t="shared" si="79"/>
        <v>0</v>
      </c>
      <c r="AK51" s="425">
        <f t="shared" si="80"/>
        <v>0</v>
      </c>
      <c r="AM51" s="425">
        <f t="shared" si="81"/>
        <v>0</v>
      </c>
      <c r="AN51" s="425">
        <f t="shared" si="82"/>
        <v>0</v>
      </c>
      <c r="AO51" s="425">
        <f t="shared" si="83"/>
        <v>0</v>
      </c>
      <c r="AP51" s="425">
        <f t="shared" si="84"/>
        <v>0</v>
      </c>
      <c r="AQ51" s="425">
        <f t="shared" si="85"/>
        <v>0</v>
      </c>
      <c r="AR51" s="425">
        <f t="shared" si="86"/>
        <v>0</v>
      </c>
      <c r="AS51" s="425">
        <f t="shared" si="87"/>
        <v>0</v>
      </c>
      <c r="AT51" s="425">
        <f t="shared" si="88"/>
        <v>0</v>
      </c>
      <c r="AU51" s="425">
        <f t="shared" si="89"/>
        <v>0</v>
      </c>
      <c r="AW51" s="425" t="s">
        <v>396</v>
      </c>
      <c r="AY51" s="419">
        <f>IF(AND(I51="Public location", K51="Hospital"),c_drug_pub_hos, c_drug_pub_phar)</f>
        <v>0</v>
      </c>
      <c r="AZ51" s="419">
        <f t="shared" si="90"/>
        <v>258.93</v>
      </c>
      <c r="BA51" s="419">
        <f t="shared" si="91"/>
        <v>849</v>
      </c>
      <c r="BB51" s="419">
        <f t="shared" si="92"/>
        <v>0</v>
      </c>
      <c r="BC51" s="419">
        <f t="shared" si="93"/>
        <v>0</v>
      </c>
      <c r="BE51" s="419">
        <f>wage_rate*((sickdays_1_tx-sickdays_1_notx)*p_txeff_ss1_s+sickdays_1_notx)</f>
        <v>37.119999999999997</v>
      </c>
      <c r="BF51" s="419">
        <f>wage_rate*((sickdays_2_tx-sickdays_2_notx)*p_txeff_ss1_s+sickdays_2_notx)</f>
        <v>53.359999999999992</v>
      </c>
      <c r="BG51" s="419">
        <f>wage_rate*((sickdays_3_tx-sickdays_3_notx)*p_txeff_ss1_s+sickdays_3_notx)</f>
        <v>0</v>
      </c>
      <c r="BH51" s="443">
        <f>wage_rate*((sickdays_4_tx-sickdays_4_notx)*p_txeff_ss1_s+sickdays_4_notx)</f>
        <v>0</v>
      </c>
    </row>
    <row r="52" spans="1:651">
      <c r="B52" s="206"/>
      <c r="C52" s="8"/>
      <c r="D52" s="429" t="str">
        <f t="shared" si="94"/>
        <v>Ideal medicine Quality_Seek care_Public location_Hospital_Substandard Quality2</v>
      </c>
      <c r="E52" s="429">
        <f t="shared" si="69"/>
        <v>1000000</v>
      </c>
      <c r="F52" s="429" t="s">
        <v>407</v>
      </c>
      <c r="G52" s="429" t="s">
        <v>371</v>
      </c>
      <c r="H52" s="430">
        <f t="shared" si="70"/>
        <v>0.35</v>
      </c>
      <c r="I52" s="429" t="s">
        <v>394</v>
      </c>
      <c r="J52" s="430">
        <f t="shared" si="71"/>
        <v>0.5</v>
      </c>
      <c r="K52" s="429" t="s">
        <v>395</v>
      </c>
      <c r="L52" s="430">
        <f t="shared" si="72"/>
        <v>0.5</v>
      </c>
      <c r="M52" s="429" t="s">
        <v>399</v>
      </c>
      <c r="N52" s="430">
        <f>p_p2_pubh_ss2</f>
        <v>0</v>
      </c>
      <c r="O52" s="429" t="s">
        <v>396</v>
      </c>
      <c r="P52" s="430" t="s">
        <v>396</v>
      </c>
      <c r="Q52" s="429">
        <f t="shared" si="95"/>
        <v>0</v>
      </c>
      <c r="S52" s="425">
        <v>1</v>
      </c>
      <c r="U52" s="425">
        <f>(ly_tx-ly_notx)*p_txeff_ss2_s+ly_notx</f>
        <v>0</v>
      </c>
      <c r="V52" s="425">
        <f>(qaly_tx-qaly_notx)*p_txeff_ss2_s+qaly_notx</f>
        <v>0</v>
      </c>
      <c r="W52" s="425">
        <f>(daly_tx-daly_notx)*p_txeff_ss2_s+daly_notx</f>
        <v>0</v>
      </c>
      <c r="X52" s="425">
        <f>(death_tx-death_notx)*p_txeff_ss2_s+death_notx</f>
        <v>7.1999999999999998E-3</v>
      </c>
      <c r="Y52" s="425">
        <f>(custom1_tx-custom1_notx)*p_txeff_ss2_s+custom1_notx</f>
        <v>0.1835</v>
      </c>
      <c r="Z52" s="425">
        <f>(custom2_tx-custom2_notx)*p_txeff_ss2_s+custom2_notx</f>
        <v>7.3399999999999993E-2</v>
      </c>
      <c r="AA52" s="425">
        <f>(custom3_tx-custom3_notx)*p_txeff_ss2_s+custom3_notx</f>
        <v>0</v>
      </c>
      <c r="AB52" s="411">
        <f>(custom4_tx-custom4_notx)*p_txeff_ss2_s+custom4_notx</f>
        <v>0</v>
      </c>
      <c r="AD52" s="425">
        <f t="shared" si="73"/>
        <v>0</v>
      </c>
      <c r="AE52" s="425">
        <f t="shared" si="74"/>
        <v>0</v>
      </c>
      <c r="AF52" s="425">
        <f t="shared" si="75"/>
        <v>0</v>
      </c>
      <c r="AG52" s="425">
        <f t="shared" si="76"/>
        <v>0</v>
      </c>
      <c r="AH52" s="425">
        <f t="shared" si="77"/>
        <v>0</v>
      </c>
      <c r="AI52" s="425">
        <f t="shared" si="78"/>
        <v>0</v>
      </c>
      <c r="AJ52" s="425">
        <f t="shared" si="79"/>
        <v>0</v>
      </c>
      <c r="AK52" s="425">
        <f t="shared" si="80"/>
        <v>0</v>
      </c>
      <c r="AM52" s="425">
        <f t="shared" si="81"/>
        <v>0</v>
      </c>
      <c r="AN52" s="425">
        <f t="shared" si="82"/>
        <v>0</v>
      </c>
      <c r="AO52" s="425">
        <f t="shared" si="83"/>
        <v>0</v>
      </c>
      <c r="AP52" s="425">
        <f t="shared" si="84"/>
        <v>0</v>
      </c>
      <c r="AQ52" s="425">
        <f t="shared" si="85"/>
        <v>0</v>
      </c>
      <c r="AR52" s="425">
        <f t="shared" si="86"/>
        <v>0</v>
      </c>
      <c r="AS52" s="425">
        <f t="shared" si="87"/>
        <v>0</v>
      </c>
      <c r="AT52" s="425">
        <f t="shared" si="88"/>
        <v>0</v>
      </c>
      <c r="AU52" s="425">
        <f t="shared" si="89"/>
        <v>0</v>
      </c>
      <c r="AW52" s="425" t="s">
        <v>396</v>
      </c>
      <c r="AY52" s="419">
        <f>IF(AND(I52="Public location", K52="Hospital"),c_drug_pub_hos, c_drug_pub_phar)</f>
        <v>0</v>
      </c>
      <c r="AZ52" s="419">
        <f t="shared" si="90"/>
        <v>258.93</v>
      </c>
      <c r="BA52" s="419">
        <f t="shared" si="91"/>
        <v>849</v>
      </c>
      <c r="BB52" s="419">
        <f t="shared" si="92"/>
        <v>0</v>
      </c>
      <c r="BC52" s="419">
        <f t="shared" si="93"/>
        <v>0</v>
      </c>
      <c r="BE52" s="419">
        <f>wage_rate*((sickdays_1_tx-sickdays_1_notx)*p_txeff_ss2_s+sickdays_1_notx)</f>
        <v>37.119999999999997</v>
      </c>
      <c r="BF52" s="419">
        <f>wage_rate*((sickdays_2_tx-sickdays_2_notx)*p_txeff_ss2_s+sickdays_2_notx)</f>
        <v>53.359999999999992</v>
      </c>
      <c r="BG52" s="419">
        <f>wage_rate*((sickdays_3_tx-sickdays_3_notx)*p_txeff_ss2_s+sickdays_3_notx)</f>
        <v>0</v>
      </c>
      <c r="BH52" s="443">
        <f>wage_rate*((sickdays_4_tx-sickdays_4_notx)*p_txeff_ss2_s+sickdays_4_notx)</f>
        <v>0</v>
      </c>
    </row>
    <row r="53" spans="1:651">
      <c r="B53" s="206"/>
      <c r="C53" s="8"/>
      <c r="D53" s="429" t="str">
        <f t="shared" si="94"/>
        <v>Ideal medicine Quality_Seek care_Public location_Hospital_Substandard Quality 3</v>
      </c>
      <c r="E53" s="429">
        <f t="shared" si="69"/>
        <v>1000000</v>
      </c>
      <c r="F53" s="429" t="s">
        <v>407</v>
      </c>
      <c r="G53" s="429" t="s">
        <v>371</v>
      </c>
      <c r="H53" s="430">
        <f t="shared" si="70"/>
        <v>0.35</v>
      </c>
      <c r="I53" s="429" t="s">
        <v>394</v>
      </c>
      <c r="J53" s="430">
        <f t="shared" si="71"/>
        <v>0.5</v>
      </c>
      <c r="K53" s="429" t="s">
        <v>395</v>
      </c>
      <c r="L53" s="430">
        <f t="shared" si="72"/>
        <v>0.5</v>
      </c>
      <c r="M53" s="429" t="s">
        <v>400</v>
      </c>
      <c r="N53" s="430">
        <f>p_p2_pubh_f</f>
        <v>0</v>
      </c>
      <c r="O53" s="429" t="s">
        <v>396</v>
      </c>
      <c r="P53" s="430" t="s">
        <v>396</v>
      </c>
      <c r="Q53" s="429">
        <f t="shared" si="95"/>
        <v>0</v>
      </c>
      <c r="S53" s="425">
        <v>1</v>
      </c>
      <c r="U53" s="425">
        <f>ly_notx</f>
        <v>0</v>
      </c>
      <c r="V53" s="425">
        <f>qaly_notx</f>
        <v>0</v>
      </c>
      <c r="W53" s="425">
        <f>daly_notx</f>
        <v>0</v>
      </c>
      <c r="X53" s="425">
        <f>death_notx</f>
        <v>8.9999999999999993E-3</v>
      </c>
      <c r="Y53" s="425">
        <f>custom1_notx</f>
        <v>0.23</v>
      </c>
      <c r="Z53" s="425">
        <f>custom2_notx</f>
        <v>9.1999999999999998E-2</v>
      </c>
      <c r="AA53" s="425">
        <f>custom3_notx</f>
        <v>0</v>
      </c>
      <c r="AB53" s="411">
        <f>custom4_notx</f>
        <v>0</v>
      </c>
      <c r="AD53" s="425">
        <f t="shared" si="73"/>
        <v>0</v>
      </c>
      <c r="AE53" s="425">
        <f t="shared" si="74"/>
        <v>0</v>
      </c>
      <c r="AF53" s="425">
        <f t="shared" si="75"/>
        <v>0</v>
      </c>
      <c r="AG53" s="425">
        <f t="shared" si="76"/>
        <v>0</v>
      </c>
      <c r="AH53" s="425">
        <f t="shared" si="77"/>
        <v>0</v>
      </c>
      <c r="AI53" s="425">
        <f t="shared" si="78"/>
        <v>0</v>
      </c>
      <c r="AJ53" s="425">
        <f t="shared" si="79"/>
        <v>0</v>
      </c>
      <c r="AK53" s="425">
        <f t="shared" si="80"/>
        <v>0</v>
      </c>
      <c r="AM53" s="425">
        <f t="shared" si="81"/>
        <v>0</v>
      </c>
      <c r="AN53" s="425">
        <f t="shared" si="82"/>
        <v>0</v>
      </c>
      <c r="AO53" s="425">
        <f t="shared" si="83"/>
        <v>0</v>
      </c>
      <c r="AP53" s="425">
        <f t="shared" si="84"/>
        <v>0</v>
      </c>
      <c r="AQ53" s="425">
        <f t="shared" si="85"/>
        <v>0</v>
      </c>
      <c r="AR53" s="425">
        <f t="shared" si="86"/>
        <v>0</v>
      </c>
      <c r="AS53" s="425">
        <f t="shared" si="87"/>
        <v>0</v>
      </c>
      <c r="AT53" s="425">
        <f t="shared" si="88"/>
        <v>0</v>
      </c>
      <c r="AU53" s="425">
        <f t="shared" si="89"/>
        <v>0</v>
      </c>
      <c r="AW53" s="425" t="s">
        <v>396</v>
      </c>
      <c r="AY53" s="419">
        <f>IF(AND(I53="Public location", K53="Hospital"),c_drug_pub_hos, c_drug_pub_phar)</f>
        <v>0</v>
      </c>
      <c r="AZ53" s="419">
        <f t="shared" si="90"/>
        <v>258.93</v>
      </c>
      <c r="BA53" s="419">
        <f t="shared" si="91"/>
        <v>849</v>
      </c>
      <c r="BB53" s="419">
        <f t="shared" si="92"/>
        <v>0</v>
      </c>
      <c r="BC53" s="419">
        <f t="shared" si="93"/>
        <v>0</v>
      </c>
      <c r="BE53" s="419">
        <f>wage_rate*sickdays_1_notx</f>
        <v>37.119999999999997</v>
      </c>
      <c r="BF53" s="419">
        <f>wage_rate*sickdays_2_notx</f>
        <v>53.359999999999992</v>
      </c>
      <c r="BG53" s="419">
        <f>wage_rate*sickdays_3_notx</f>
        <v>0</v>
      </c>
      <c r="BH53" s="443">
        <f>wage_rate*sickdays_4_notx</f>
        <v>0</v>
      </c>
    </row>
    <row r="54" spans="1:651">
      <c r="B54" s="206"/>
      <c r="C54" s="8"/>
      <c r="D54" s="429" t="str">
        <f t="shared" si="94"/>
        <v>Ideal medicine Quality_Seek care_Public location_Health Center_Standard Quality</v>
      </c>
      <c r="E54" s="429">
        <f t="shared" si="69"/>
        <v>1000000</v>
      </c>
      <c r="F54" s="429" t="s">
        <v>407</v>
      </c>
      <c r="G54" s="429" t="s">
        <v>371</v>
      </c>
      <c r="H54" s="430">
        <f t="shared" si="70"/>
        <v>0.35</v>
      </c>
      <c r="I54" s="429" t="s">
        <v>394</v>
      </c>
      <c r="J54" s="430">
        <f t="shared" si="71"/>
        <v>0.5</v>
      </c>
      <c r="K54" s="429" t="s">
        <v>401</v>
      </c>
      <c r="L54" s="430">
        <f>p_pub_hc</f>
        <v>0.5</v>
      </c>
      <c r="M54" s="429" t="s">
        <v>23</v>
      </c>
      <c r="N54" s="430">
        <f>p_p2_pubhc_st</f>
        <v>1</v>
      </c>
      <c r="O54" s="429" t="s">
        <v>396</v>
      </c>
      <c r="P54" s="430" t="s">
        <v>396</v>
      </c>
      <c r="Q54" s="429">
        <f>H54*J54*L54*N54</f>
        <v>8.7499999999999994E-2</v>
      </c>
      <c r="S54" s="425">
        <v>1</v>
      </c>
      <c r="U54" s="425">
        <f>ly_tx</f>
        <v>0</v>
      </c>
      <c r="V54" s="425">
        <f>qaly_tx</f>
        <v>0</v>
      </c>
      <c r="W54" s="425">
        <f>daly_tx</f>
        <v>0</v>
      </c>
      <c r="X54" s="425">
        <f>death_tx</f>
        <v>3.0000000000000001E-3</v>
      </c>
      <c r="Y54" s="425">
        <f>custom1_tx</f>
        <v>7.4999999999999997E-2</v>
      </c>
      <c r="Z54" s="425">
        <f>custom2_tx</f>
        <v>0.03</v>
      </c>
      <c r="AA54" s="425">
        <f>custom3_tx</f>
        <v>0</v>
      </c>
      <c r="AB54" s="411">
        <f>custom4_tx</f>
        <v>0</v>
      </c>
      <c r="AD54" s="425">
        <f t="shared" si="73"/>
        <v>0</v>
      </c>
      <c r="AE54" s="425">
        <f t="shared" si="74"/>
        <v>0</v>
      </c>
      <c r="AF54" s="425">
        <f t="shared" si="75"/>
        <v>0</v>
      </c>
      <c r="AG54" s="425">
        <f t="shared" si="76"/>
        <v>2.6249999999999998E-4</v>
      </c>
      <c r="AH54" s="425">
        <f t="shared" si="77"/>
        <v>6.5624999999999998E-3</v>
      </c>
      <c r="AI54" s="425">
        <f t="shared" si="78"/>
        <v>2.6249999999999997E-3</v>
      </c>
      <c r="AJ54" s="425">
        <f t="shared" si="79"/>
        <v>0</v>
      </c>
      <c r="AK54" s="425">
        <f t="shared" si="80"/>
        <v>0</v>
      </c>
      <c r="AM54" s="425">
        <f t="shared" si="81"/>
        <v>87500</v>
      </c>
      <c r="AN54" s="425">
        <f t="shared" si="82"/>
        <v>0</v>
      </c>
      <c r="AO54" s="425">
        <f t="shared" si="83"/>
        <v>0</v>
      </c>
      <c r="AP54" s="425">
        <f t="shared" si="84"/>
        <v>0</v>
      </c>
      <c r="AQ54" s="425">
        <f t="shared" si="85"/>
        <v>262.5</v>
      </c>
      <c r="AR54" s="425">
        <f t="shared" si="86"/>
        <v>6562.5</v>
      </c>
      <c r="AS54" s="425">
        <f t="shared" si="87"/>
        <v>2624.9999999999995</v>
      </c>
      <c r="AT54" s="425">
        <f t="shared" si="88"/>
        <v>0</v>
      </c>
      <c r="AU54" s="425">
        <f t="shared" si="89"/>
        <v>0</v>
      </c>
      <c r="AW54" s="425" t="s">
        <v>396</v>
      </c>
      <c r="AY54" s="419">
        <f>_xlfn.SINGLE(IF(AND(I54="Public location", K54="Hospital"),c_drug_pub_hos, c_drug_pub_hc))</f>
        <v>0</v>
      </c>
      <c r="AZ54" s="419">
        <f t="shared" si="90"/>
        <v>258.93</v>
      </c>
      <c r="BA54" s="419">
        <f t="shared" si="91"/>
        <v>849</v>
      </c>
      <c r="BB54" s="419">
        <f t="shared" si="92"/>
        <v>0</v>
      </c>
      <c r="BC54" s="419">
        <f t="shared" si="93"/>
        <v>0</v>
      </c>
      <c r="BE54" s="419">
        <f>wage_rate*sickdays_1_tx</f>
        <v>37.119999999999997</v>
      </c>
      <c r="BF54" s="419">
        <f>wage_rate*sickdays_2_tx</f>
        <v>53.359999999999992</v>
      </c>
      <c r="BG54" s="419">
        <f>wage_rate*sickdays_3_tx</f>
        <v>0</v>
      </c>
      <c r="BH54" s="443">
        <f>wage_rate*sickdays_4_tx</f>
        <v>0</v>
      </c>
    </row>
    <row r="55" spans="1:651">
      <c r="B55" s="206"/>
      <c r="C55" s="8"/>
      <c r="D55" s="429" t="str">
        <f t="shared" si="94"/>
        <v>Ideal medicine Quality_Seek care_Public location_Health Center_Substandard Quality1</v>
      </c>
      <c r="E55" s="429">
        <f t="shared" si="69"/>
        <v>1000000</v>
      </c>
      <c r="F55" s="429" t="s">
        <v>407</v>
      </c>
      <c r="G55" s="429" t="s">
        <v>371</v>
      </c>
      <c r="H55" s="430">
        <f t="shared" si="70"/>
        <v>0.35</v>
      </c>
      <c r="I55" s="429" t="s">
        <v>394</v>
      </c>
      <c r="J55" s="430">
        <f t="shared" si="71"/>
        <v>0.5</v>
      </c>
      <c r="K55" s="429" t="s">
        <v>401</v>
      </c>
      <c r="L55" s="430">
        <f>p_pub_hc</f>
        <v>0.5</v>
      </c>
      <c r="M55" s="429" t="s">
        <v>397</v>
      </c>
      <c r="N55" s="430">
        <f>p_p2_pubhc_ss1</f>
        <v>0</v>
      </c>
      <c r="O55" s="429" t="s">
        <v>396</v>
      </c>
      <c r="P55" s="430" t="s">
        <v>396</v>
      </c>
      <c r="Q55" s="429">
        <f t="shared" si="95"/>
        <v>0</v>
      </c>
      <c r="S55" s="425">
        <v>1</v>
      </c>
      <c r="U55" s="425">
        <f>(ly_tx-ly_notx)*p_txeff_ss1_s+ly_notx</f>
        <v>0</v>
      </c>
      <c r="V55" s="425">
        <f>(qaly_tx-qaly_notx)*p_txeff_ss1_s+qaly_notx</f>
        <v>0</v>
      </c>
      <c r="W55" s="425">
        <f>(daly_tx-daly_notx)*p_txeff_ss1_s+daly_notx</f>
        <v>0</v>
      </c>
      <c r="X55" s="425">
        <f>(death_tx-death_notx)*p_txeff_ss1_s+death_notx</f>
        <v>5.4000000000000003E-3</v>
      </c>
      <c r="Y55" s="425">
        <f>(custom1_tx-custom1_notx)*p_txeff_ss1_s+custom1_notx</f>
        <v>0.13700000000000001</v>
      </c>
      <c r="Z55" s="425">
        <f>(custom2_tx-custom2_notx)*p_txeff_ss1_s+custom2_notx</f>
        <v>5.4800000000000001E-2</v>
      </c>
      <c r="AA55" s="425">
        <f>(custom3_tx-custom3_notx)*p_txeff_ss1_s+custom3_notx</f>
        <v>0</v>
      </c>
      <c r="AB55" s="411">
        <f>(custom4_tx-custom4_notx)*p_txeff_ss1_s+custom4_notx</f>
        <v>0</v>
      </c>
      <c r="AD55" s="425">
        <f t="shared" si="73"/>
        <v>0</v>
      </c>
      <c r="AE55" s="425">
        <f t="shared" si="74"/>
        <v>0</v>
      </c>
      <c r="AF55" s="425">
        <f t="shared" si="75"/>
        <v>0</v>
      </c>
      <c r="AG55" s="425">
        <f t="shared" si="76"/>
        <v>0</v>
      </c>
      <c r="AH55" s="425">
        <f t="shared" si="77"/>
        <v>0</v>
      </c>
      <c r="AI55" s="425">
        <f t="shared" si="78"/>
        <v>0</v>
      </c>
      <c r="AJ55" s="425">
        <f t="shared" si="79"/>
        <v>0</v>
      </c>
      <c r="AK55" s="425">
        <f t="shared" si="80"/>
        <v>0</v>
      </c>
      <c r="AM55" s="425">
        <f t="shared" si="81"/>
        <v>0</v>
      </c>
      <c r="AN55" s="425">
        <f t="shared" si="82"/>
        <v>0</v>
      </c>
      <c r="AO55" s="425">
        <f t="shared" si="83"/>
        <v>0</v>
      </c>
      <c r="AP55" s="425">
        <f t="shared" si="84"/>
        <v>0</v>
      </c>
      <c r="AQ55" s="425">
        <f t="shared" si="85"/>
        <v>0</v>
      </c>
      <c r="AR55" s="425">
        <f t="shared" si="86"/>
        <v>0</v>
      </c>
      <c r="AS55" s="425">
        <f t="shared" si="87"/>
        <v>0</v>
      </c>
      <c r="AT55" s="425">
        <f t="shared" si="88"/>
        <v>0</v>
      </c>
      <c r="AU55" s="425">
        <f t="shared" si="89"/>
        <v>0</v>
      </c>
      <c r="AW55" s="425" t="s">
        <v>396</v>
      </c>
      <c r="AY55" s="419">
        <f>_xlfn.SINGLE(IF(AND(I55="Public location", K55="Hospital"),c_drug_pub_hos, c_drug_pub_hc))</f>
        <v>0</v>
      </c>
      <c r="AZ55" s="419">
        <f t="shared" si="90"/>
        <v>258.93</v>
      </c>
      <c r="BA55" s="419">
        <f t="shared" si="91"/>
        <v>849</v>
      </c>
      <c r="BB55" s="419">
        <f t="shared" si="92"/>
        <v>0</v>
      </c>
      <c r="BC55" s="419">
        <f t="shared" si="93"/>
        <v>0</v>
      </c>
      <c r="BE55" s="419">
        <f>wage_rate*((sickdays_1_tx-sickdays_1_notx)*p_txeff_ss1_s+sickdays_1_notx)</f>
        <v>37.119999999999997</v>
      </c>
      <c r="BF55" s="419">
        <f>wage_rate*((sickdays_2_tx-sickdays_2_notx)*p_txeff_ss1_s+sickdays_2_notx)</f>
        <v>53.359999999999992</v>
      </c>
      <c r="BG55" s="419">
        <f>wage_rate*((sickdays_3_tx-sickdays_3_notx)*p_txeff_ss1_s+sickdays_3_notx)</f>
        <v>0</v>
      </c>
      <c r="BH55" s="443">
        <f>wage_rate*((sickdays_4_tx-sickdays_4_notx)*p_txeff_ss1_s+sickdays_4_notx)</f>
        <v>0</v>
      </c>
    </row>
    <row r="56" spans="1:651">
      <c r="B56" s="206"/>
      <c r="C56" s="8"/>
      <c r="D56" s="429" t="str">
        <f t="shared" si="94"/>
        <v>Ideal medicine Quality_Seek care_Public location_Health Center_Substandard Quality2</v>
      </c>
      <c r="E56" s="429">
        <f t="shared" si="69"/>
        <v>1000000</v>
      </c>
      <c r="F56" s="429" t="s">
        <v>407</v>
      </c>
      <c r="G56" s="429" t="s">
        <v>371</v>
      </c>
      <c r="H56" s="430">
        <f t="shared" si="70"/>
        <v>0.35</v>
      </c>
      <c r="I56" s="429" t="s">
        <v>394</v>
      </c>
      <c r="J56" s="430">
        <f t="shared" si="71"/>
        <v>0.5</v>
      </c>
      <c r="K56" s="429" t="s">
        <v>401</v>
      </c>
      <c r="L56" s="430">
        <f>p_pub_hc</f>
        <v>0.5</v>
      </c>
      <c r="M56" s="429" t="s">
        <v>399</v>
      </c>
      <c r="N56" s="430">
        <f>p_p2_pubhc_ss2</f>
        <v>0</v>
      </c>
      <c r="O56" s="429" t="s">
        <v>396</v>
      </c>
      <c r="P56" s="430" t="s">
        <v>396</v>
      </c>
      <c r="Q56" s="429">
        <f t="shared" si="95"/>
        <v>0</v>
      </c>
      <c r="S56" s="425">
        <v>1</v>
      </c>
      <c r="U56" s="425">
        <f>(ly_tx-ly_notx)*p_txeff_ss2_s+ly_notx</f>
        <v>0</v>
      </c>
      <c r="V56" s="425">
        <f>(qaly_tx-qaly_notx)*p_txeff_ss2_s+qaly_notx</f>
        <v>0</v>
      </c>
      <c r="W56" s="425">
        <f>(daly_tx-daly_notx)*p_txeff_ss2_s+daly_notx</f>
        <v>0</v>
      </c>
      <c r="X56" s="425">
        <f>(death_tx-death_notx)*p_txeff_ss2_s+death_notx</f>
        <v>7.1999999999999998E-3</v>
      </c>
      <c r="Y56" s="425">
        <f>(custom1_tx-custom1_notx)*p_txeff_ss2_s+custom1_notx</f>
        <v>0.1835</v>
      </c>
      <c r="Z56" s="425">
        <f>(custom2_tx-custom2_notx)*p_txeff_ss2_s+custom2_notx</f>
        <v>7.3399999999999993E-2</v>
      </c>
      <c r="AA56" s="425">
        <f>(custom3_tx-custom3_notx)*p_txeff_ss2_s+custom3_notx</f>
        <v>0</v>
      </c>
      <c r="AB56" s="411">
        <f>(custom4_tx-custom4_notx)*p_txeff_ss2_s+custom4_notx</f>
        <v>0</v>
      </c>
      <c r="AD56" s="425">
        <f t="shared" si="73"/>
        <v>0</v>
      </c>
      <c r="AE56" s="425">
        <f t="shared" si="74"/>
        <v>0</v>
      </c>
      <c r="AF56" s="425">
        <f t="shared" si="75"/>
        <v>0</v>
      </c>
      <c r="AG56" s="425">
        <f t="shared" si="76"/>
        <v>0</v>
      </c>
      <c r="AH56" s="425">
        <f t="shared" si="77"/>
        <v>0</v>
      </c>
      <c r="AI56" s="425">
        <f t="shared" si="78"/>
        <v>0</v>
      </c>
      <c r="AJ56" s="425">
        <f t="shared" si="79"/>
        <v>0</v>
      </c>
      <c r="AK56" s="425">
        <f t="shared" si="80"/>
        <v>0</v>
      </c>
      <c r="AM56" s="425">
        <f t="shared" si="81"/>
        <v>0</v>
      </c>
      <c r="AN56" s="425">
        <f t="shared" si="82"/>
        <v>0</v>
      </c>
      <c r="AO56" s="425">
        <f t="shared" si="83"/>
        <v>0</v>
      </c>
      <c r="AP56" s="425">
        <f t="shared" si="84"/>
        <v>0</v>
      </c>
      <c r="AQ56" s="425">
        <f t="shared" si="85"/>
        <v>0</v>
      </c>
      <c r="AR56" s="425">
        <f t="shared" si="86"/>
        <v>0</v>
      </c>
      <c r="AS56" s="425">
        <f t="shared" si="87"/>
        <v>0</v>
      </c>
      <c r="AT56" s="425">
        <f t="shared" si="88"/>
        <v>0</v>
      </c>
      <c r="AU56" s="425">
        <f t="shared" si="89"/>
        <v>0</v>
      </c>
      <c r="AW56" s="425" t="s">
        <v>396</v>
      </c>
      <c r="AY56" s="419">
        <f>_xlfn.SINGLE(IF(AND(I56="Public location", K56="Hospital"),c_drug_pub_hos, c_drug_pub_hc))</f>
        <v>0</v>
      </c>
      <c r="AZ56" s="419">
        <f t="shared" si="90"/>
        <v>258.93</v>
      </c>
      <c r="BA56" s="419">
        <f t="shared" si="91"/>
        <v>849</v>
      </c>
      <c r="BB56" s="419">
        <f t="shared" si="92"/>
        <v>0</v>
      </c>
      <c r="BC56" s="419">
        <f t="shared" si="93"/>
        <v>0</v>
      </c>
      <c r="BE56" s="419">
        <f>wage_rate*((sickdays_1_tx-sickdays_1_notx)*p_txeff_ss2_s+sickdays_1_notx)</f>
        <v>37.119999999999997</v>
      </c>
      <c r="BF56" s="419">
        <f>wage_rate*((sickdays_2_tx-sickdays_2_notx)*p_txeff_ss2_s+sickdays_2_notx)</f>
        <v>53.359999999999992</v>
      </c>
      <c r="BG56" s="419">
        <f>wage_rate*((sickdays_3_tx-sickdays_3_notx)*p_txeff_ss2_s+sickdays_3_notx)</f>
        <v>0</v>
      </c>
      <c r="BH56" s="443">
        <f>wage_rate*((sickdays_4_tx-sickdays_4_notx)*p_txeff_ss2_s+sickdays_4_notx)</f>
        <v>0</v>
      </c>
    </row>
    <row r="57" spans="1:651">
      <c r="B57" s="206"/>
      <c r="C57" s="8"/>
      <c r="D57" s="429" t="str">
        <f t="shared" si="94"/>
        <v>Ideal medicine Quality_Seek care_Public location_Health Center_Substandard Quality 3</v>
      </c>
      <c r="E57" s="429">
        <f t="shared" si="69"/>
        <v>1000000</v>
      </c>
      <c r="F57" s="429" t="s">
        <v>407</v>
      </c>
      <c r="G57" s="429" t="s">
        <v>371</v>
      </c>
      <c r="H57" s="430">
        <f t="shared" si="70"/>
        <v>0.35</v>
      </c>
      <c r="I57" s="429" t="s">
        <v>394</v>
      </c>
      <c r="J57" s="430">
        <f t="shared" si="71"/>
        <v>0.5</v>
      </c>
      <c r="K57" s="429" t="s">
        <v>401</v>
      </c>
      <c r="L57" s="430">
        <f>p_pub_hc</f>
        <v>0.5</v>
      </c>
      <c r="M57" s="429" t="s">
        <v>400</v>
      </c>
      <c r="N57" s="430">
        <f>p_p2_pubhc_f</f>
        <v>0</v>
      </c>
      <c r="O57" s="429" t="s">
        <v>396</v>
      </c>
      <c r="P57" s="430" t="s">
        <v>396</v>
      </c>
      <c r="Q57" s="429">
        <f t="shared" si="95"/>
        <v>0</v>
      </c>
      <c r="S57" s="425">
        <v>1</v>
      </c>
      <c r="U57" s="425">
        <f>ly_notx</f>
        <v>0</v>
      </c>
      <c r="V57" s="425">
        <f>qaly_notx</f>
        <v>0</v>
      </c>
      <c r="W57" s="425">
        <f>daly_notx</f>
        <v>0</v>
      </c>
      <c r="X57" s="425">
        <f>death_notx</f>
        <v>8.9999999999999993E-3</v>
      </c>
      <c r="Y57" s="425">
        <f>custom1_notx</f>
        <v>0.23</v>
      </c>
      <c r="Z57" s="425">
        <f>custom2_notx</f>
        <v>9.1999999999999998E-2</v>
      </c>
      <c r="AA57" s="425">
        <f>custom3_notx</f>
        <v>0</v>
      </c>
      <c r="AB57" s="411">
        <f>custom4_notx</f>
        <v>0</v>
      </c>
      <c r="AD57" s="425">
        <f t="shared" si="73"/>
        <v>0</v>
      </c>
      <c r="AE57" s="425">
        <f t="shared" si="74"/>
        <v>0</v>
      </c>
      <c r="AF57" s="425">
        <f t="shared" si="75"/>
        <v>0</v>
      </c>
      <c r="AG57" s="425">
        <f t="shared" si="76"/>
        <v>0</v>
      </c>
      <c r="AH57" s="425">
        <f t="shared" si="77"/>
        <v>0</v>
      </c>
      <c r="AI57" s="425">
        <f t="shared" si="78"/>
        <v>0</v>
      </c>
      <c r="AJ57" s="425">
        <f t="shared" si="79"/>
        <v>0</v>
      </c>
      <c r="AK57" s="425">
        <f t="shared" si="80"/>
        <v>0</v>
      </c>
      <c r="AM57" s="425">
        <f t="shared" si="81"/>
        <v>0</v>
      </c>
      <c r="AN57" s="425">
        <f t="shared" si="82"/>
        <v>0</v>
      </c>
      <c r="AO57" s="425">
        <f t="shared" si="83"/>
        <v>0</v>
      </c>
      <c r="AP57" s="425">
        <f t="shared" si="84"/>
        <v>0</v>
      </c>
      <c r="AQ57" s="425">
        <f t="shared" si="85"/>
        <v>0</v>
      </c>
      <c r="AR57" s="425">
        <f t="shared" si="86"/>
        <v>0</v>
      </c>
      <c r="AS57" s="425">
        <f t="shared" si="87"/>
        <v>0</v>
      </c>
      <c r="AT57" s="425">
        <f t="shared" si="88"/>
        <v>0</v>
      </c>
      <c r="AU57" s="425">
        <f t="shared" si="89"/>
        <v>0</v>
      </c>
      <c r="AW57" s="425" t="s">
        <v>396</v>
      </c>
      <c r="AY57" s="419">
        <f>_xlfn.SINGLE(IF(AND(I57="Public location", K57="Hospital"),c_drug_pub_hos, c_drug_pub_hc))</f>
        <v>0</v>
      </c>
      <c r="AZ57" s="419">
        <f t="shared" si="90"/>
        <v>258.93</v>
      </c>
      <c r="BA57" s="419">
        <f t="shared" si="91"/>
        <v>849</v>
      </c>
      <c r="BB57" s="419">
        <f t="shared" si="92"/>
        <v>0</v>
      </c>
      <c r="BC57" s="419">
        <f t="shared" si="93"/>
        <v>0</v>
      </c>
      <c r="BE57" s="419">
        <f>wage_rate*sickdays_1_notx</f>
        <v>37.119999999999997</v>
      </c>
      <c r="BF57" s="419">
        <f>wage_rate*sickdays_2_notx</f>
        <v>53.359999999999992</v>
      </c>
      <c r="BG57" s="419">
        <f>wage_rate*sickdays_3_notx</f>
        <v>0</v>
      </c>
      <c r="BH57" s="443">
        <f>wage_rate*sickdays_4_notx</f>
        <v>0</v>
      </c>
    </row>
    <row r="58" spans="1:651">
      <c r="B58" s="206"/>
      <c r="C58" s="8"/>
      <c r="D58" s="429" t="str">
        <f t="shared" si="94"/>
        <v>Ideal medicine Quality_Seek care_Private location_Hospital_Standard Quality</v>
      </c>
      <c r="E58" s="429">
        <f t="shared" si="69"/>
        <v>1000000</v>
      </c>
      <c r="F58" s="429" t="s">
        <v>407</v>
      </c>
      <c r="G58" s="429" t="s">
        <v>371</v>
      </c>
      <c r="H58" s="430">
        <f t="shared" si="70"/>
        <v>0.35</v>
      </c>
      <c r="I58" s="429" t="s">
        <v>402</v>
      </c>
      <c r="J58" s="430">
        <f t="shared" ref="J58:J69" si="96">pop_receive_priv</f>
        <v>0.5</v>
      </c>
      <c r="K58" s="429" t="s">
        <v>395</v>
      </c>
      <c r="L58" s="430">
        <f t="shared" ref="L58:L61" si="97">p_priv_hos</f>
        <v>0.33333333333333331</v>
      </c>
      <c r="M58" s="429" t="s">
        <v>23</v>
      </c>
      <c r="N58" s="430">
        <f>p_p2_privh_st</f>
        <v>1</v>
      </c>
      <c r="O58" s="429" t="s">
        <v>396</v>
      </c>
      <c r="P58" s="430" t="s">
        <v>396</v>
      </c>
      <c r="Q58" s="429">
        <f t="shared" si="95"/>
        <v>5.8333333333333327E-2</v>
      </c>
      <c r="S58" s="425">
        <v>1</v>
      </c>
      <c r="U58" s="425">
        <f>ly_tx</f>
        <v>0</v>
      </c>
      <c r="V58" s="425">
        <f>qaly_tx</f>
        <v>0</v>
      </c>
      <c r="W58" s="425">
        <f>daly_tx</f>
        <v>0</v>
      </c>
      <c r="X58" s="425">
        <f>death_tx</f>
        <v>3.0000000000000001E-3</v>
      </c>
      <c r="Y58" s="425">
        <f>custom1_tx</f>
        <v>7.4999999999999997E-2</v>
      </c>
      <c r="Z58" s="425">
        <f>custom2_tx</f>
        <v>0.03</v>
      </c>
      <c r="AA58" s="425">
        <f>custom3_tx</f>
        <v>0</v>
      </c>
      <c r="AB58" s="411">
        <f>custom4_tx</f>
        <v>0</v>
      </c>
      <c r="AD58" s="425">
        <f t="shared" si="73"/>
        <v>0</v>
      </c>
      <c r="AE58" s="425">
        <f t="shared" si="74"/>
        <v>0</v>
      </c>
      <c r="AF58" s="425">
        <f t="shared" si="75"/>
        <v>0</v>
      </c>
      <c r="AG58" s="425">
        <f t="shared" si="76"/>
        <v>1.75E-4</v>
      </c>
      <c r="AH58" s="425">
        <f t="shared" si="77"/>
        <v>4.3749999999999995E-3</v>
      </c>
      <c r="AI58" s="425">
        <f t="shared" si="78"/>
        <v>1.7499999999999998E-3</v>
      </c>
      <c r="AJ58" s="425">
        <f t="shared" si="79"/>
        <v>0</v>
      </c>
      <c r="AK58" s="425">
        <f t="shared" si="80"/>
        <v>0</v>
      </c>
      <c r="AM58" s="425">
        <f t="shared" si="81"/>
        <v>58333.333333333328</v>
      </c>
      <c r="AN58" s="425">
        <f t="shared" si="82"/>
        <v>0</v>
      </c>
      <c r="AO58" s="425">
        <f t="shared" si="83"/>
        <v>0</v>
      </c>
      <c r="AP58" s="425">
        <f t="shared" si="84"/>
        <v>0</v>
      </c>
      <c r="AQ58" s="425">
        <f t="shared" si="85"/>
        <v>175</v>
      </c>
      <c r="AR58" s="425">
        <f t="shared" si="86"/>
        <v>4375</v>
      </c>
      <c r="AS58" s="425">
        <f t="shared" si="87"/>
        <v>1749.9999999999998</v>
      </c>
      <c r="AT58" s="425">
        <f t="shared" si="88"/>
        <v>0</v>
      </c>
      <c r="AU58" s="425">
        <f t="shared" si="89"/>
        <v>0</v>
      </c>
      <c r="AW58" s="425" t="s">
        <v>396</v>
      </c>
      <c r="AY58" s="419">
        <f t="shared" ref="AY58:AY69" si="98">IF(AND(I58="Private location", K58="Hospital"), c_drug_priv_hos, IF(K58="Pharmacy", c_drug_priv_phar, c_drug_other))</f>
        <v>0</v>
      </c>
      <c r="AZ58" s="419">
        <f t="shared" ref="AZ58:AZ69" si="99">IF(AND(N58="Private location", T58="Hospital"),c_custom1_privhos, IF(T58="Pharmacy", c_custom1_privphar, c_custom1_other))</f>
        <v>258.93</v>
      </c>
      <c r="BA58" s="419">
        <f t="shared" ref="BA58:BA69" si="100">IF(AND(Q58="Private location", U58="Hospital"),c_custom2_privhos, IF(U58="Pharmacy", c_custom2_privphar, c_custom2_other))</f>
        <v>849</v>
      </c>
      <c r="BB58" s="419">
        <f t="shared" ref="BB58:BB69" si="101">IF(AND(T58="Private location", V58="Hospital"),c_custom3_privhos, IF(V58="Pharmacy", c_custom3_privphar, c_custom3_other))</f>
        <v>0</v>
      </c>
      <c r="BC58" s="419">
        <f t="shared" ref="BC58:BC69" si="102">IF(AND(U58="Private location", W58="Hospital"),c_custom4_privhos, IF(W58="Pharmacy", c_custom4_privphar, c_custom4_other))</f>
        <v>0</v>
      </c>
      <c r="BE58" s="419">
        <f>wage_rate*sickdays_1_tx</f>
        <v>37.119999999999997</v>
      </c>
      <c r="BF58" s="419">
        <f>wage_rate*sickdays_2_tx</f>
        <v>53.359999999999992</v>
      </c>
      <c r="BG58" s="419">
        <f>wage_rate*sickdays_3_tx</f>
        <v>0</v>
      </c>
      <c r="BH58" s="443">
        <f>wage_rate*sickdays_4_tx</f>
        <v>0</v>
      </c>
    </row>
    <row r="59" spans="1:651">
      <c r="B59" s="206"/>
      <c r="C59" s="8"/>
      <c r="D59" s="429" t="str">
        <f t="shared" si="94"/>
        <v>Ideal medicine Quality_Seek care_Private location_Hospital_Substandard Quality1</v>
      </c>
      <c r="E59" s="429">
        <f t="shared" si="69"/>
        <v>1000000</v>
      </c>
      <c r="F59" s="429" t="s">
        <v>407</v>
      </c>
      <c r="G59" s="429" t="s">
        <v>371</v>
      </c>
      <c r="H59" s="430">
        <f t="shared" si="70"/>
        <v>0.35</v>
      </c>
      <c r="I59" s="429" t="s">
        <v>402</v>
      </c>
      <c r="J59" s="430">
        <f t="shared" si="96"/>
        <v>0.5</v>
      </c>
      <c r="K59" s="429" t="s">
        <v>395</v>
      </c>
      <c r="L59" s="430">
        <f t="shared" si="97"/>
        <v>0.33333333333333331</v>
      </c>
      <c r="M59" s="429" t="s">
        <v>397</v>
      </c>
      <c r="N59" s="430">
        <f>p_p2_privh_ss1</f>
        <v>0</v>
      </c>
      <c r="O59" s="429" t="s">
        <v>396</v>
      </c>
      <c r="P59" s="430" t="s">
        <v>396</v>
      </c>
      <c r="Q59" s="429">
        <f t="shared" si="95"/>
        <v>0</v>
      </c>
      <c r="S59" s="425">
        <v>1</v>
      </c>
      <c r="U59" s="425">
        <f>(ly_tx-ly_notx)*p_txeff_ss1_s+ly_notx</f>
        <v>0</v>
      </c>
      <c r="V59" s="425">
        <f>(qaly_tx-qaly_notx)*p_txeff_ss1_s+qaly_notx</f>
        <v>0</v>
      </c>
      <c r="W59" s="425">
        <f>(daly_tx-daly_notx)*p_txeff_ss1_s+daly_notx</f>
        <v>0</v>
      </c>
      <c r="X59" s="425">
        <f>(death_tx-death_notx)*p_txeff_ss1_s+death_notx</f>
        <v>5.4000000000000003E-3</v>
      </c>
      <c r="Y59" s="425">
        <f>(custom1_tx-custom1_notx)*p_txeff_ss1_s+custom1_notx</f>
        <v>0.13700000000000001</v>
      </c>
      <c r="Z59" s="425">
        <f>(custom2_tx-custom2_notx)*p_txeff_ss1_s+custom2_notx</f>
        <v>5.4800000000000001E-2</v>
      </c>
      <c r="AA59" s="425">
        <f>(custom3_tx-custom3_notx)*p_txeff_ss1_s+custom3_notx</f>
        <v>0</v>
      </c>
      <c r="AB59" s="411">
        <f>(custom4_tx-custom4_notx)*p_txeff_ss1_s+custom4_notx</f>
        <v>0</v>
      </c>
      <c r="AD59" s="425">
        <f t="shared" si="73"/>
        <v>0</v>
      </c>
      <c r="AE59" s="425">
        <f t="shared" si="74"/>
        <v>0</v>
      </c>
      <c r="AF59" s="425">
        <f t="shared" si="75"/>
        <v>0</v>
      </c>
      <c r="AG59" s="425">
        <f t="shared" si="76"/>
        <v>0</v>
      </c>
      <c r="AH59" s="425">
        <f t="shared" si="77"/>
        <v>0</v>
      </c>
      <c r="AI59" s="425">
        <f t="shared" si="78"/>
        <v>0</v>
      </c>
      <c r="AJ59" s="425">
        <f t="shared" si="79"/>
        <v>0</v>
      </c>
      <c r="AK59" s="425">
        <f t="shared" si="80"/>
        <v>0</v>
      </c>
      <c r="AM59" s="425">
        <f t="shared" si="81"/>
        <v>0</v>
      </c>
      <c r="AN59" s="425">
        <f t="shared" si="82"/>
        <v>0</v>
      </c>
      <c r="AO59" s="425">
        <f t="shared" si="83"/>
        <v>0</v>
      </c>
      <c r="AP59" s="425">
        <f t="shared" si="84"/>
        <v>0</v>
      </c>
      <c r="AQ59" s="425">
        <f t="shared" si="85"/>
        <v>0</v>
      </c>
      <c r="AR59" s="425">
        <f t="shared" si="86"/>
        <v>0</v>
      </c>
      <c r="AS59" s="425">
        <f t="shared" si="87"/>
        <v>0</v>
      </c>
      <c r="AT59" s="425">
        <f t="shared" si="88"/>
        <v>0</v>
      </c>
      <c r="AU59" s="425">
        <f t="shared" si="89"/>
        <v>0</v>
      </c>
      <c r="AW59" s="425" t="s">
        <v>396</v>
      </c>
      <c r="AY59" s="419">
        <f t="shared" si="98"/>
        <v>0</v>
      </c>
      <c r="AZ59" s="419">
        <f t="shared" si="99"/>
        <v>258.93</v>
      </c>
      <c r="BA59" s="419">
        <f t="shared" si="100"/>
        <v>849</v>
      </c>
      <c r="BB59" s="419">
        <f t="shared" si="101"/>
        <v>0</v>
      </c>
      <c r="BC59" s="419">
        <f t="shared" si="102"/>
        <v>0</v>
      </c>
      <c r="BE59" s="419">
        <f>wage_rate*((sickdays_1_tx-sickdays_1_notx)*p_txeff_ss1_s+sickdays_1_notx)</f>
        <v>37.119999999999997</v>
      </c>
      <c r="BF59" s="419">
        <f>wage_rate*((sickdays_2_tx-sickdays_2_notx)*p_txeff_ss1_s+sickdays_2_notx)</f>
        <v>53.359999999999992</v>
      </c>
      <c r="BG59" s="419">
        <f>wage_rate*((sickdays_3_tx-sickdays_3_notx)*p_txeff_ss1_s+sickdays_3_notx)</f>
        <v>0</v>
      </c>
      <c r="BH59" s="443">
        <f>wage_rate*((sickdays_4_tx-sickdays_4_notx)*p_txeff_ss1_s+sickdays_4_notx)</f>
        <v>0</v>
      </c>
    </row>
    <row r="60" spans="1:651">
      <c r="B60" s="206"/>
      <c r="C60" s="8"/>
      <c r="D60" s="429" t="str">
        <f t="shared" si="94"/>
        <v>Ideal medicine Quality_Seek care_Private location_Hospital_Substandard Quality2</v>
      </c>
      <c r="E60" s="429">
        <f t="shared" si="69"/>
        <v>1000000</v>
      </c>
      <c r="F60" s="429" t="s">
        <v>407</v>
      </c>
      <c r="G60" s="429" t="s">
        <v>371</v>
      </c>
      <c r="H60" s="430">
        <f t="shared" si="70"/>
        <v>0.35</v>
      </c>
      <c r="I60" s="429" t="s">
        <v>402</v>
      </c>
      <c r="J60" s="430">
        <f t="shared" si="96"/>
        <v>0.5</v>
      </c>
      <c r="K60" s="429" t="s">
        <v>395</v>
      </c>
      <c r="L60" s="430">
        <f t="shared" si="97"/>
        <v>0.33333333333333331</v>
      </c>
      <c r="M60" s="429" t="s">
        <v>399</v>
      </c>
      <c r="N60" s="430">
        <f>p_p2_privh_ss2</f>
        <v>0</v>
      </c>
      <c r="O60" s="429" t="s">
        <v>396</v>
      </c>
      <c r="P60" s="430" t="s">
        <v>396</v>
      </c>
      <c r="Q60" s="429">
        <f t="shared" si="95"/>
        <v>0</v>
      </c>
      <c r="S60" s="425">
        <v>1</v>
      </c>
      <c r="U60" s="425">
        <f>(ly_tx-ly_notx)*p_txeff_ss2_s+ly_notx</f>
        <v>0</v>
      </c>
      <c r="V60" s="425">
        <f>(qaly_tx-qaly_notx)*p_txeff_ss2_s+qaly_notx</f>
        <v>0</v>
      </c>
      <c r="W60" s="425">
        <f>(daly_tx-daly_notx)*p_txeff_ss2_s+daly_notx</f>
        <v>0</v>
      </c>
      <c r="X60" s="425">
        <f>(death_tx-death_notx)*p_txeff_ss2_s+death_notx</f>
        <v>7.1999999999999998E-3</v>
      </c>
      <c r="Y60" s="425">
        <f>(custom1_tx-custom1_notx)*p_txeff_ss2_s+custom1_notx</f>
        <v>0.1835</v>
      </c>
      <c r="Z60" s="425">
        <f>(custom2_tx-custom2_notx)*p_txeff_ss2_s+custom2_notx</f>
        <v>7.3399999999999993E-2</v>
      </c>
      <c r="AA60" s="425">
        <f>(custom3_tx-custom3_notx)*p_txeff_ss2_s+custom3_notx</f>
        <v>0</v>
      </c>
      <c r="AB60" s="411">
        <f>(custom4_tx-custom4_notx)*p_txeff_ss2_s+custom4_notx</f>
        <v>0</v>
      </c>
      <c r="AD60" s="425">
        <f t="shared" si="73"/>
        <v>0</v>
      </c>
      <c r="AE60" s="425">
        <f t="shared" si="74"/>
        <v>0</v>
      </c>
      <c r="AF60" s="425">
        <f t="shared" si="75"/>
        <v>0</v>
      </c>
      <c r="AG60" s="425">
        <f t="shared" si="76"/>
        <v>0</v>
      </c>
      <c r="AH60" s="425">
        <f t="shared" si="77"/>
        <v>0</v>
      </c>
      <c r="AI60" s="425">
        <f t="shared" si="78"/>
        <v>0</v>
      </c>
      <c r="AJ60" s="425">
        <f t="shared" si="79"/>
        <v>0</v>
      </c>
      <c r="AK60" s="425">
        <f t="shared" si="80"/>
        <v>0</v>
      </c>
      <c r="AM60" s="425">
        <f t="shared" si="81"/>
        <v>0</v>
      </c>
      <c r="AN60" s="425">
        <f t="shared" si="82"/>
        <v>0</v>
      </c>
      <c r="AO60" s="425">
        <f t="shared" si="83"/>
        <v>0</v>
      </c>
      <c r="AP60" s="425">
        <f t="shared" si="84"/>
        <v>0</v>
      </c>
      <c r="AQ60" s="425">
        <f t="shared" si="85"/>
        <v>0</v>
      </c>
      <c r="AR60" s="425">
        <f t="shared" si="86"/>
        <v>0</v>
      </c>
      <c r="AS60" s="425">
        <f t="shared" si="87"/>
        <v>0</v>
      </c>
      <c r="AT60" s="425">
        <f t="shared" si="88"/>
        <v>0</v>
      </c>
      <c r="AU60" s="425">
        <f t="shared" si="89"/>
        <v>0</v>
      </c>
      <c r="AW60" s="425" t="s">
        <v>396</v>
      </c>
      <c r="AY60" s="419">
        <f t="shared" si="98"/>
        <v>0</v>
      </c>
      <c r="AZ60" s="419">
        <f t="shared" si="99"/>
        <v>258.93</v>
      </c>
      <c r="BA60" s="419">
        <f t="shared" si="100"/>
        <v>849</v>
      </c>
      <c r="BB60" s="419">
        <f t="shared" si="101"/>
        <v>0</v>
      </c>
      <c r="BC60" s="419">
        <f t="shared" si="102"/>
        <v>0</v>
      </c>
      <c r="BE60" s="419">
        <f>wage_rate*((sickdays_1_tx-sickdays_1_notx)*p_txeff_ss2_s+sickdays_1_notx)</f>
        <v>37.119999999999997</v>
      </c>
      <c r="BF60" s="419">
        <f>wage_rate*((sickdays_2_tx-sickdays_2_notx)*p_txeff_ss2_s+sickdays_2_notx)</f>
        <v>53.359999999999992</v>
      </c>
      <c r="BG60" s="419">
        <f>wage_rate*((sickdays_3_tx-sickdays_3_notx)*p_txeff_ss2_s+sickdays_3_notx)</f>
        <v>0</v>
      </c>
      <c r="BH60" s="443">
        <f>wage_rate*((sickdays_4_tx-sickdays_4_notx)*p_txeff_ss2_s+sickdays_4_notx)</f>
        <v>0</v>
      </c>
    </row>
    <row r="61" spans="1:651">
      <c r="B61" s="206"/>
      <c r="C61" s="8"/>
      <c r="D61" s="429" t="str">
        <f t="shared" si="94"/>
        <v>Ideal medicine Quality_Seek care_Private location_Hospital_Substandard Quality 3</v>
      </c>
      <c r="E61" s="429">
        <f t="shared" si="69"/>
        <v>1000000</v>
      </c>
      <c r="F61" s="429" t="s">
        <v>407</v>
      </c>
      <c r="G61" s="429" t="s">
        <v>371</v>
      </c>
      <c r="H61" s="430">
        <f t="shared" si="70"/>
        <v>0.35</v>
      </c>
      <c r="I61" s="429" t="s">
        <v>402</v>
      </c>
      <c r="J61" s="430">
        <f t="shared" si="96"/>
        <v>0.5</v>
      </c>
      <c r="K61" s="429" t="s">
        <v>395</v>
      </c>
      <c r="L61" s="430">
        <f t="shared" si="97"/>
        <v>0.33333333333333331</v>
      </c>
      <c r="M61" s="429" t="s">
        <v>400</v>
      </c>
      <c r="N61" s="430">
        <f>p_p2_privh_f</f>
        <v>0</v>
      </c>
      <c r="O61" s="429" t="s">
        <v>396</v>
      </c>
      <c r="P61" s="430" t="s">
        <v>396</v>
      </c>
      <c r="Q61" s="429">
        <f t="shared" si="95"/>
        <v>0</v>
      </c>
      <c r="S61" s="425">
        <v>1</v>
      </c>
      <c r="U61" s="425">
        <f>ly_notx</f>
        <v>0</v>
      </c>
      <c r="V61" s="425">
        <f>qaly_notx</f>
        <v>0</v>
      </c>
      <c r="W61" s="425">
        <f>daly_notx</f>
        <v>0</v>
      </c>
      <c r="X61" s="425">
        <f>death_notx</f>
        <v>8.9999999999999993E-3</v>
      </c>
      <c r="Y61" s="425">
        <f>custom1_notx</f>
        <v>0.23</v>
      </c>
      <c r="Z61" s="425">
        <f>custom2_notx</f>
        <v>9.1999999999999998E-2</v>
      </c>
      <c r="AA61" s="425">
        <f>custom3_notx</f>
        <v>0</v>
      </c>
      <c r="AB61" s="411">
        <f>custom4_notx</f>
        <v>0</v>
      </c>
      <c r="AD61" s="425">
        <f t="shared" si="73"/>
        <v>0</v>
      </c>
      <c r="AE61" s="425">
        <f t="shared" si="74"/>
        <v>0</v>
      </c>
      <c r="AF61" s="425">
        <f t="shared" si="75"/>
        <v>0</v>
      </c>
      <c r="AG61" s="425">
        <f t="shared" si="76"/>
        <v>0</v>
      </c>
      <c r="AH61" s="425">
        <f t="shared" si="77"/>
        <v>0</v>
      </c>
      <c r="AI61" s="425">
        <f t="shared" si="78"/>
        <v>0</v>
      </c>
      <c r="AJ61" s="425">
        <f t="shared" si="79"/>
        <v>0</v>
      </c>
      <c r="AK61" s="425">
        <f t="shared" si="80"/>
        <v>0</v>
      </c>
      <c r="AM61" s="425">
        <f t="shared" si="81"/>
        <v>0</v>
      </c>
      <c r="AN61" s="425">
        <f t="shared" si="82"/>
        <v>0</v>
      </c>
      <c r="AO61" s="425">
        <f t="shared" si="83"/>
        <v>0</v>
      </c>
      <c r="AP61" s="425">
        <f t="shared" si="84"/>
        <v>0</v>
      </c>
      <c r="AQ61" s="425">
        <f t="shared" si="85"/>
        <v>0</v>
      </c>
      <c r="AR61" s="425">
        <f t="shared" si="86"/>
        <v>0</v>
      </c>
      <c r="AS61" s="425">
        <f t="shared" si="87"/>
        <v>0</v>
      </c>
      <c r="AT61" s="425">
        <f t="shared" si="88"/>
        <v>0</v>
      </c>
      <c r="AU61" s="425">
        <f t="shared" si="89"/>
        <v>0</v>
      </c>
      <c r="AW61" s="425" t="s">
        <v>396</v>
      </c>
      <c r="AY61" s="419">
        <f t="shared" si="98"/>
        <v>0</v>
      </c>
      <c r="AZ61" s="419">
        <f t="shared" si="99"/>
        <v>258.93</v>
      </c>
      <c r="BA61" s="419">
        <f t="shared" si="100"/>
        <v>849</v>
      </c>
      <c r="BB61" s="419">
        <f t="shared" si="101"/>
        <v>0</v>
      </c>
      <c r="BC61" s="419">
        <f t="shared" si="102"/>
        <v>0</v>
      </c>
      <c r="BE61" s="419">
        <f>wage_rate*sickdays_1_notx</f>
        <v>37.119999999999997</v>
      </c>
      <c r="BF61" s="419">
        <f>wage_rate*sickdays_2_notx</f>
        <v>53.359999999999992</v>
      </c>
      <c r="BG61" s="419">
        <f>wage_rate*sickdays_3_notx</f>
        <v>0</v>
      </c>
      <c r="BH61" s="443">
        <f>wage_rate*sickdays_4_notx</f>
        <v>0</v>
      </c>
    </row>
    <row r="62" spans="1:651">
      <c r="B62" s="206"/>
      <c r="C62" s="8"/>
      <c r="D62" s="429" t="str">
        <f t="shared" si="94"/>
        <v>Ideal medicine Quality_Seek care_Private location_Pharmacy_Standard Quality</v>
      </c>
      <c r="E62" s="429">
        <f t="shared" si="69"/>
        <v>1000000</v>
      </c>
      <c r="F62" s="429" t="s">
        <v>407</v>
      </c>
      <c r="G62" s="429" t="s">
        <v>371</v>
      </c>
      <c r="H62" s="430">
        <f t="shared" si="70"/>
        <v>0.35</v>
      </c>
      <c r="I62" s="429" t="s">
        <v>402</v>
      </c>
      <c r="J62" s="430">
        <f t="shared" si="96"/>
        <v>0.5</v>
      </c>
      <c r="K62" s="429" t="s">
        <v>403</v>
      </c>
      <c r="L62" s="430">
        <f t="shared" ref="L62:L65" si="103">p_priv_phar</f>
        <v>0.33333333333333331</v>
      </c>
      <c r="M62" s="429" t="s">
        <v>23</v>
      </c>
      <c r="N62" s="430">
        <f>p_p2_privph_st</f>
        <v>1</v>
      </c>
      <c r="O62" s="429" t="s">
        <v>396</v>
      </c>
      <c r="P62" s="430" t="s">
        <v>396</v>
      </c>
      <c r="Q62" s="429">
        <f t="shared" si="95"/>
        <v>5.8333333333333327E-2</v>
      </c>
      <c r="S62" s="425">
        <v>1</v>
      </c>
      <c r="U62" s="425">
        <f>ly_tx</f>
        <v>0</v>
      </c>
      <c r="V62" s="425">
        <f>qaly_tx</f>
        <v>0</v>
      </c>
      <c r="W62" s="425">
        <f>daly_tx</f>
        <v>0</v>
      </c>
      <c r="X62" s="425">
        <f>death_tx</f>
        <v>3.0000000000000001E-3</v>
      </c>
      <c r="Y62" s="425">
        <f>custom1_tx</f>
        <v>7.4999999999999997E-2</v>
      </c>
      <c r="Z62" s="425">
        <f>custom2_tx</f>
        <v>0.03</v>
      </c>
      <c r="AA62" s="425">
        <f>custom3_tx</f>
        <v>0</v>
      </c>
      <c r="AB62" s="411">
        <f>custom4_tx</f>
        <v>0</v>
      </c>
      <c r="AD62" s="425">
        <f t="shared" si="73"/>
        <v>0</v>
      </c>
      <c r="AE62" s="425">
        <f t="shared" si="74"/>
        <v>0</v>
      </c>
      <c r="AF62" s="425">
        <f t="shared" si="75"/>
        <v>0</v>
      </c>
      <c r="AG62" s="425">
        <f t="shared" si="76"/>
        <v>1.75E-4</v>
      </c>
      <c r="AH62" s="425">
        <f t="shared" si="77"/>
        <v>4.3749999999999995E-3</v>
      </c>
      <c r="AI62" s="425">
        <f t="shared" si="78"/>
        <v>1.7499999999999998E-3</v>
      </c>
      <c r="AJ62" s="425">
        <f t="shared" si="79"/>
        <v>0</v>
      </c>
      <c r="AK62" s="425">
        <f t="shared" si="80"/>
        <v>0</v>
      </c>
      <c r="AM62" s="425">
        <f t="shared" si="81"/>
        <v>58333.333333333328</v>
      </c>
      <c r="AN62" s="425">
        <f t="shared" si="82"/>
        <v>0</v>
      </c>
      <c r="AO62" s="425">
        <f t="shared" si="83"/>
        <v>0</v>
      </c>
      <c r="AP62" s="425">
        <f t="shared" si="84"/>
        <v>0</v>
      </c>
      <c r="AQ62" s="425">
        <f t="shared" si="85"/>
        <v>175</v>
      </c>
      <c r="AR62" s="425">
        <f t="shared" si="86"/>
        <v>4375</v>
      </c>
      <c r="AS62" s="425">
        <f t="shared" si="87"/>
        <v>1749.9999999999998</v>
      </c>
      <c r="AT62" s="425">
        <f t="shared" si="88"/>
        <v>0</v>
      </c>
      <c r="AU62" s="425">
        <f t="shared" si="89"/>
        <v>0</v>
      </c>
      <c r="AW62" s="425" t="s">
        <v>396</v>
      </c>
      <c r="AY62" s="419">
        <f t="shared" si="98"/>
        <v>0</v>
      </c>
      <c r="AZ62" s="419">
        <f t="shared" si="99"/>
        <v>258.93</v>
      </c>
      <c r="BA62" s="419">
        <f t="shared" si="100"/>
        <v>849</v>
      </c>
      <c r="BB62" s="419">
        <f t="shared" si="101"/>
        <v>0</v>
      </c>
      <c r="BC62" s="419">
        <f t="shared" si="102"/>
        <v>0</v>
      </c>
      <c r="BE62" s="419">
        <f>wage_rate*sickdays_1_tx</f>
        <v>37.119999999999997</v>
      </c>
      <c r="BF62" s="419">
        <f>wage_rate*sickdays_2_tx</f>
        <v>53.359999999999992</v>
      </c>
      <c r="BG62" s="419">
        <f>wage_rate*sickdays_3_tx</f>
        <v>0</v>
      </c>
      <c r="BH62" s="443">
        <f>wage_rate*sickdays_4_tx</f>
        <v>0</v>
      </c>
    </row>
    <row r="63" spans="1:651">
      <c r="B63" s="206"/>
      <c r="C63" s="8"/>
      <c r="D63" s="429" t="str">
        <f t="shared" si="94"/>
        <v>Ideal medicine Quality_Seek care_Private location_Pharmacy_Substandard Quality1</v>
      </c>
      <c r="E63" s="429">
        <f t="shared" si="69"/>
        <v>1000000</v>
      </c>
      <c r="F63" s="429" t="s">
        <v>407</v>
      </c>
      <c r="G63" s="429" t="s">
        <v>371</v>
      </c>
      <c r="H63" s="430">
        <f t="shared" si="70"/>
        <v>0.35</v>
      </c>
      <c r="I63" s="429" t="s">
        <v>402</v>
      </c>
      <c r="J63" s="430">
        <f t="shared" si="96"/>
        <v>0.5</v>
      </c>
      <c r="K63" s="429" t="s">
        <v>403</v>
      </c>
      <c r="L63" s="430">
        <f t="shared" si="103"/>
        <v>0.33333333333333331</v>
      </c>
      <c r="M63" s="429" t="s">
        <v>397</v>
      </c>
      <c r="N63" s="430">
        <f>p_p2_privph_ss1</f>
        <v>0</v>
      </c>
      <c r="O63" s="429" t="s">
        <v>396</v>
      </c>
      <c r="P63" s="430" t="s">
        <v>396</v>
      </c>
      <c r="Q63" s="429">
        <f t="shared" si="95"/>
        <v>0</v>
      </c>
      <c r="S63" s="425">
        <v>1</v>
      </c>
      <c r="U63" s="425">
        <f>(ly_tx-ly_notx)*p_txeff_ss1_s+ly_notx</f>
        <v>0</v>
      </c>
      <c r="V63" s="425">
        <f>(qaly_tx-qaly_notx)*p_txeff_ss1_s+qaly_notx</f>
        <v>0</v>
      </c>
      <c r="W63" s="425">
        <f>(daly_tx-daly_notx)*p_txeff_ss1_s+daly_notx</f>
        <v>0</v>
      </c>
      <c r="X63" s="425">
        <f>(death_tx-death_notx)*p_txeff_ss1_s+death_notx</f>
        <v>5.4000000000000003E-3</v>
      </c>
      <c r="Y63" s="425">
        <f>(custom1_tx-custom1_notx)*p_txeff_ss1_s+custom1_notx</f>
        <v>0.13700000000000001</v>
      </c>
      <c r="Z63" s="425">
        <f>(custom2_tx-custom2_notx)*p_txeff_ss1_s+custom2_notx</f>
        <v>5.4800000000000001E-2</v>
      </c>
      <c r="AA63" s="425">
        <f>(custom3_tx-custom3_notx)*p_txeff_ss1_s+custom3_notx</f>
        <v>0</v>
      </c>
      <c r="AB63" s="411">
        <f>(custom4_tx-custom4_notx)*p_txeff_ss1_s+custom4_notx</f>
        <v>0</v>
      </c>
      <c r="AD63" s="425">
        <f t="shared" si="73"/>
        <v>0</v>
      </c>
      <c r="AE63" s="425">
        <f t="shared" si="74"/>
        <v>0</v>
      </c>
      <c r="AF63" s="425">
        <f t="shared" si="75"/>
        <v>0</v>
      </c>
      <c r="AG63" s="425">
        <f t="shared" si="76"/>
        <v>0</v>
      </c>
      <c r="AH63" s="425">
        <f t="shared" si="77"/>
        <v>0</v>
      </c>
      <c r="AI63" s="425">
        <f t="shared" si="78"/>
        <v>0</v>
      </c>
      <c r="AJ63" s="425">
        <f t="shared" si="79"/>
        <v>0</v>
      </c>
      <c r="AK63" s="425">
        <f t="shared" si="80"/>
        <v>0</v>
      </c>
      <c r="AM63" s="425">
        <f t="shared" si="81"/>
        <v>0</v>
      </c>
      <c r="AN63" s="425">
        <f t="shared" si="82"/>
        <v>0</v>
      </c>
      <c r="AO63" s="425">
        <f t="shared" si="83"/>
        <v>0</v>
      </c>
      <c r="AP63" s="425">
        <f t="shared" si="84"/>
        <v>0</v>
      </c>
      <c r="AQ63" s="425">
        <f t="shared" si="85"/>
        <v>0</v>
      </c>
      <c r="AR63" s="425">
        <f t="shared" si="86"/>
        <v>0</v>
      </c>
      <c r="AS63" s="425">
        <f t="shared" si="87"/>
        <v>0</v>
      </c>
      <c r="AT63" s="425">
        <f t="shared" si="88"/>
        <v>0</v>
      </c>
      <c r="AU63" s="425">
        <f t="shared" si="89"/>
        <v>0</v>
      </c>
      <c r="AW63" s="425" t="s">
        <v>396</v>
      </c>
      <c r="AY63" s="419">
        <f t="shared" si="98"/>
        <v>0</v>
      </c>
      <c r="AZ63" s="419">
        <f t="shared" si="99"/>
        <v>258.93</v>
      </c>
      <c r="BA63" s="419">
        <f t="shared" si="100"/>
        <v>849</v>
      </c>
      <c r="BB63" s="419">
        <f t="shared" si="101"/>
        <v>0</v>
      </c>
      <c r="BC63" s="419">
        <f t="shared" si="102"/>
        <v>0</v>
      </c>
      <c r="BE63" s="419">
        <f>wage_rate*((sickdays_1_tx-sickdays_1_notx)*p_txeff_ss1_s+sickdays_1_notx)</f>
        <v>37.119999999999997</v>
      </c>
      <c r="BF63" s="419">
        <f>wage_rate*((sickdays_2_tx-sickdays_2_notx)*p_txeff_ss1_s+sickdays_2_notx)</f>
        <v>53.359999999999992</v>
      </c>
      <c r="BG63" s="419">
        <f>wage_rate*((sickdays_3_tx-sickdays_3_notx)*p_txeff_ss1_s+sickdays_3_notx)</f>
        <v>0</v>
      </c>
      <c r="BH63" s="443">
        <f>wage_rate*((sickdays_4_tx-sickdays_4_notx)*p_txeff_ss1_s+sickdays_4_notx)</f>
        <v>0</v>
      </c>
    </row>
    <row r="64" spans="1:651">
      <c r="B64" s="206"/>
      <c r="C64" s="8"/>
      <c r="D64" s="429" t="str">
        <f t="shared" si="94"/>
        <v>Ideal medicine Quality_Seek care_Private location_Pharmacy_Substandard Quality2</v>
      </c>
      <c r="E64" s="429">
        <f t="shared" si="69"/>
        <v>1000000</v>
      </c>
      <c r="F64" s="429" t="s">
        <v>407</v>
      </c>
      <c r="G64" s="429" t="s">
        <v>371</v>
      </c>
      <c r="H64" s="430">
        <f t="shared" si="70"/>
        <v>0.35</v>
      </c>
      <c r="I64" s="429" t="s">
        <v>402</v>
      </c>
      <c r="J64" s="430">
        <f t="shared" si="96"/>
        <v>0.5</v>
      </c>
      <c r="K64" s="429" t="s">
        <v>403</v>
      </c>
      <c r="L64" s="430">
        <f t="shared" si="103"/>
        <v>0.33333333333333331</v>
      </c>
      <c r="M64" s="429" t="s">
        <v>399</v>
      </c>
      <c r="N64" s="430">
        <f>p_p2_privph_ss2</f>
        <v>0</v>
      </c>
      <c r="O64" s="429" t="s">
        <v>396</v>
      </c>
      <c r="P64" s="430" t="s">
        <v>396</v>
      </c>
      <c r="Q64" s="429">
        <f t="shared" si="95"/>
        <v>0</v>
      </c>
      <c r="S64" s="425">
        <v>1</v>
      </c>
      <c r="U64" s="425">
        <f>(ly_tx-ly_notx)*p_txeff_ss2_s+ly_notx</f>
        <v>0</v>
      </c>
      <c r="V64" s="425">
        <f>(qaly_tx-qaly_notx)*p_txeff_ss2_s+qaly_notx</f>
        <v>0</v>
      </c>
      <c r="W64" s="425">
        <f>(daly_tx-daly_notx)*p_txeff_ss2_s+daly_notx</f>
        <v>0</v>
      </c>
      <c r="X64" s="425">
        <f>(death_tx-death_notx)*p_txeff_ss2_s+death_notx</f>
        <v>7.1999999999999998E-3</v>
      </c>
      <c r="Y64" s="425">
        <f>(custom1_tx-custom1_notx)*p_txeff_ss2_s+custom1_notx</f>
        <v>0.1835</v>
      </c>
      <c r="Z64" s="425">
        <f>(custom2_tx-custom2_notx)*p_txeff_ss2_s+custom2_notx</f>
        <v>7.3399999999999993E-2</v>
      </c>
      <c r="AA64" s="425">
        <f>(custom3_tx-custom3_notx)*p_txeff_ss2_s+custom3_notx</f>
        <v>0</v>
      </c>
      <c r="AB64" s="411">
        <f>(custom4_tx-custom4_notx)*p_txeff_ss2_s+custom4_notx</f>
        <v>0</v>
      </c>
      <c r="AD64" s="425">
        <f t="shared" si="73"/>
        <v>0</v>
      </c>
      <c r="AE64" s="425">
        <f t="shared" si="74"/>
        <v>0</v>
      </c>
      <c r="AF64" s="425">
        <f t="shared" si="75"/>
        <v>0</v>
      </c>
      <c r="AG64" s="425">
        <f t="shared" si="76"/>
        <v>0</v>
      </c>
      <c r="AH64" s="425">
        <f t="shared" si="77"/>
        <v>0</v>
      </c>
      <c r="AI64" s="425">
        <f t="shared" si="78"/>
        <v>0</v>
      </c>
      <c r="AJ64" s="425">
        <f t="shared" si="79"/>
        <v>0</v>
      </c>
      <c r="AK64" s="425">
        <f t="shared" si="80"/>
        <v>0</v>
      </c>
      <c r="AM64" s="425">
        <f t="shared" si="81"/>
        <v>0</v>
      </c>
      <c r="AN64" s="425">
        <f t="shared" si="82"/>
        <v>0</v>
      </c>
      <c r="AO64" s="425">
        <f t="shared" si="83"/>
        <v>0</v>
      </c>
      <c r="AP64" s="425">
        <f t="shared" si="84"/>
        <v>0</v>
      </c>
      <c r="AQ64" s="425">
        <f t="shared" si="85"/>
        <v>0</v>
      </c>
      <c r="AR64" s="425">
        <f t="shared" si="86"/>
        <v>0</v>
      </c>
      <c r="AS64" s="425">
        <f t="shared" si="87"/>
        <v>0</v>
      </c>
      <c r="AT64" s="425">
        <f t="shared" si="88"/>
        <v>0</v>
      </c>
      <c r="AU64" s="425">
        <f t="shared" si="89"/>
        <v>0</v>
      </c>
      <c r="AW64" s="425" t="s">
        <v>396</v>
      </c>
      <c r="AY64" s="419">
        <f t="shared" si="98"/>
        <v>0</v>
      </c>
      <c r="AZ64" s="419">
        <f t="shared" si="99"/>
        <v>258.93</v>
      </c>
      <c r="BA64" s="419">
        <f t="shared" si="100"/>
        <v>849</v>
      </c>
      <c r="BB64" s="419">
        <f t="shared" si="101"/>
        <v>0</v>
      </c>
      <c r="BC64" s="419">
        <f t="shared" si="102"/>
        <v>0</v>
      </c>
      <c r="BE64" s="419">
        <f>wage_rate*((sickdays_1_tx-sickdays_1_notx)*p_txeff_ss2_s+sickdays_1_notx)</f>
        <v>37.119999999999997</v>
      </c>
      <c r="BF64" s="419">
        <f>wage_rate*((sickdays_2_tx-sickdays_2_notx)*p_txeff_ss2_s+sickdays_2_notx)</f>
        <v>53.359999999999992</v>
      </c>
      <c r="BG64" s="419">
        <f>wage_rate*((sickdays_3_tx-sickdays_3_notx)*p_txeff_ss2_s+sickdays_3_notx)</f>
        <v>0</v>
      </c>
      <c r="BH64" s="443">
        <f>wage_rate*((sickdays_4_tx-sickdays_4_notx)*p_txeff_ss2_s+sickdays_4_notx)</f>
        <v>0</v>
      </c>
    </row>
    <row r="65" spans="1:651">
      <c r="B65" s="206"/>
      <c r="C65" s="8"/>
      <c r="D65" s="429" t="str">
        <f t="shared" si="94"/>
        <v>Ideal medicine Quality_Seek care_Private location_Pharmacy_Substandard Quality 3</v>
      </c>
      <c r="E65" s="429">
        <f t="shared" si="69"/>
        <v>1000000</v>
      </c>
      <c r="F65" s="429" t="s">
        <v>407</v>
      </c>
      <c r="G65" s="429" t="s">
        <v>371</v>
      </c>
      <c r="H65" s="430">
        <f t="shared" si="70"/>
        <v>0.35</v>
      </c>
      <c r="I65" s="429" t="s">
        <v>402</v>
      </c>
      <c r="J65" s="430">
        <f t="shared" si="96"/>
        <v>0.5</v>
      </c>
      <c r="K65" s="429" t="s">
        <v>403</v>
      </c>
      <c r="L65" s="430">
        <f t="shared" si="103"/>
        <v>0.33333333333333331</v>
      </c>
      <c r="M65" s="429" t="s">
        <v>400</v>
      </c>
      <c r="N65" s="430">
        <f>p_p2_privph_f</f>
        <v>0</v>
      </c>
      <c r="O65" s="429" t="s">
        <v>396</v>
      </c>
      <c r="P65" s="430" t="s">
        <v>396</v>
      </c>
      <c r="Q65" s="429">
        <f t="shared" si="95"/>
        <v>0</v>
      </c>
      <c r="S65" s="425">
        <v>1</v>
      </c>
      <c r="U65" s="425">
        <f>ly_notx</f>
        <v>0</v>
      </c>
      <c r="V65" s="425">
        <f>qaly_notx</f>
        <v>0</v>
      </c>
      <c r="W65" s="425">
        <f>daly_notx</f>
        <v>0</v>
      </c>
      <c r="X65" s="425">
        <f>death_notx</f>
        <v>8.9999999999999993E-3</v>
      </c>
      <c r="Y65" s="425">
        <f>custom1_notx</f>
        <v>0.23</v>
      </c>
      <c r="Z65" s="425">
        <f>custom2_notx</f>
        <v>9.1999999999999998E-2</v>
      </c>
      <c r="AA65" s="425">
        <f>custom3_notx</f>
        <v>0</v>
      </c>
      <c r="AB65" s="411">
        <f>custom4_notx</f>
        <v>0</v>
      </c>
      <c r="AD65" s="425">
        <f t="shared" si="73"/>
        <v>0</v>
      </c>
      <c r="AE65" s="425">
        <f t="shared" si="74"/>
        <v>0</v>
      </c>
      <c r="AF65" s="425">
        <f t="shared" si="75"/>
        <v>0</v>
      </c>
      <c r="AG65" s="425">
        <f t="shared" si="76"/>
        <v>0</v>
      </c>
      <c r="AH65" s="425">
        <f t="shared" si="77"/>
        <v>0</v>
      </c>
      <c r="AI65" s="425">
        <f t="shared" si="78"/>
        <v>0</v>
      </c>
      <c r="AJ65" s="425">
        <f t="shared" si="79"/>
        <v>0</v>
      </c>
      <c r="AK65" s="425">
        <f t="shared" si="80"/>
        <v>0</v>
      </c>
      <c r="AM65" s="425">
        <f t="shared" si="81"/>
        <v>0</v>
      </c>
      <c r="AN65" s="425">
        <f t="shared" si="82"/>
        <v>0</v>
      </c>
      <c r="AO65" s="425">
        <f t="shared" si="83"/>
        <v>0</v>
      </c>
      <c r="AP65" s="425">
        <f t="shared" si="84"/>
        <v>0</v>
      </c>
      <c r="AQ65" s="425">
        <f t="shared" si="85"/>
        <v>0</v>
      </c>
      <c r="AR65" s="425">
        <f t="shared" si="86"/>
        <v>0</v>
      </c>
      <c r="AS65" s="425">
        <f t="shared" si="87"/>
        <v>0</v>
      </c>
      <c r="AT65" s="425">
        <f t="shared" si="88"/>
        <v>0</v>
      </c>
      <c r="AU65" s="425">
        <f t="shared" si="89"/>
        <v>0</v>
      </c>
      <c r="AW65" s="425" t="s">
        <v>396</v>
      </c>
      <c r="AY65" s="419">
        <f t="shared" si="98"/>
        <v>0</v>
      </c>
      <c r="AZ65" s="419">
        <f t="shared" si="99"/>
        <v>258.93</v>
      </c>
      <c r="BA65" s="419">
        <f t="shared" si="100"/>
        <v>849</v>
      </c>
      <c r="BB65" s="419">
        <f t="shared" si="101"/>
        <v>0</v>
      </c>
      <c r="BC65" s="419">
        <f t="shared" si="102"/>
        <v>0</v>
      </c>
      <c r="BE65" s="419">
        <f>wage_rate*sickdays_1_notx</f>
        <v>37.119999999999997</v>
      </c>
      <c r="BF65" s="419">
        <f>wage_rate*sickdays_2_notx</f>
        <v>53.359999999999992</v>
      </c>
      <c r="BG65" s="419">
        <f>wage_rate*sickdays_3_notx</f>
        <v>0</v>
      </c>
      <c r="BH65" s="443">
        <f>wage_rate*sickdays_4_notx</f>
        <v>0</v>
      </c>
    </row>
    <row r="66" spans="1:651">
      <c r="B66" s="206"/>
      <c r="C66" s="8"/>
      <c r="D66" s="429" t="str">
        <f t="shared" si="94"/>
        <v>Ideal medicine Quality_Seek care_Private location_Other_Standard Quality</v>
      </c>
      <c r="E66" s="429">
        <f t="shared" si="69"/>
        <v>1000000</v>
      </c>
      <c r="F66" s="429" t="s">
        <v>407</v>
      </c>
      <c r="G66" s="429" t="s">
        <v>371</v>
      </c>
      <c r="H66" s="430">
        <f t="shared" si="70"/>
        <v>0.35</v>
      </c>
      <c r="I66" s="429" t="s">
        <v>402</v>
      </c>
      <c r="J66" s="430">
        <f t="shared" si="96"/>
        <v>0.5</v>
      </c>
      <c r="K66" s="429" t="s">
        <v>59</v>
      </c>
      <c r="L66" s="430">
        <f t="shared" ref="L66:L69" si="104">p_priv_other</f>
        <v>0.33333333333333331</v>
      </c>
      <c r="M66" s="429" t="s">
        <v>23</v>
      </c>
      <c r="N66" s="430">
        <f>p_p2_privo_st</f>
        <v>1</v>
      </c>
      <c r="O66" s="429" t="s">
        <v>396</v>
      </c>
      <c r="P66" s="430" t="s">
        <v>396</v>
      </c>
      <c r="Q66" s="429">
        <f t="shared" si="95"/>
        <v>5.8333333333333327E-2</v>
      </c>
      <c r="S66" s="425">
        <v>1</v>
      </c>
      <c r="U66" s="425">
        <f>ly_tx</f>
        <v>0</v>
      </c>
      <c r="V66" s="425">
        <f>qaly_tx</f>
        <v>0</v>
      </c>
      <c r="W66" s="425">
        <f>daly_tx</f>
        <v>0</v>
      </c>
      <c r="X66" s="425">
        <f>death_tx</f>
        <v>3.0000000000000001E-3</v>
      </c>
      <c r="Y66" s="425">
        <f>custom1_tx</f>
        <v>7.4999999999999997E-2</v>
      </c>
      <c r="Z66" s="425">
        <f>custom2_tx</f>
        <v>0.03</v>
      </c>
      <c r="AA66" s="425">
        <f>custom3_tx</f>
        <v>0</v>
      </c>
      <c r="AB66" s="411">
        <f>custom4_tx</f>
        <v>0</v>
      </c>
      <c r="AD66" s="425">
        <f t="shared" si="73"/>
        <v>0</v>
      </c>
      <c r="AE66" s="425">
        <f t="shared" si="74"/>
        <v>0</v>
      </c>
      <c r="AF66" s="425">
        <f t="shared" si="75"/>
        <v>0</v>
      </c>
      <c r="AG66" s="425">
        <f t="shared" si="76"/>
        <v>1.75E-4</v>
      </c>
      <c r="AH66" s="425">
        <f t="shared" si="77"/>
        <v>4.3749999999999995E-3</v>
      </c>
      <c r="AI66" s="425">
        <f t="shared" si="78"/>
        <v>1.7499999999999998E-3</v>
      </c>
      <c r="AJ66" s="425">
        <f t="shared" si="79"/>
        <v>0</v>
      </c>
      <c r="AK66" s="425">
        <f t="shared" si="80"/>
        <v>0</v>
      </c>
      <c r="AM66" s="425">
        <f t="shared" si="81"/>
        <v>58333.333333333328</v>
      </c>
      <c r="AN66" s="425">
        <f t="shared" si="82"/>
        <v>0</v>
      </c>
      <c r="AO66" s="425">
        <f t="shared" si="83"/>
        <v>0</v>
      </c>
      <c r="AP66" s="425">
        <f t="shared" si="84"/>
        <v>0</v>
      </c>
      <c r="AQ66" s="425">
        <f t="shared" si="85"/>
        <v>175</v>
      </c>
      <c r="AR66" s="425">
        <f t="shared" si="86"/>
        <v>4375</v>
      </c>
      <c r="AS66" s="425">
        <f t="shared" si="87"/>
        <v>1749.9999999999998</v>
      </c>
      <c r="AT66" s="425">
        <f t="shared" si="88"/>
        <v>0</v>
      </c>
      <c r="AU66" s="425">
        <f t="shared" si="89"/>
        <v>0</v>
      </c>
      <c r="AW66" s="425" t="s">
        <v>396</v>
      </c>
      <c r="AY66" s="419">
        <f t="shared" si="98"/>
        <v>0</v>
      </c>
      <c r="AZ66" s="419">
        <f t="shared" si="99"/>
        <v>258.93</v>
      </c>
      <c r="BA66" s="419">
        <f t="shared" si="100"/>
        <v>849</v>
      </c>
      <c r="BB66" s="419">
        <f t="shared" si="101"/>
        <v>0</v>
      </c>
      <c r="BC66" s="419">
        <f t="shared" si="102"/>
        <v>0</v>
      </c>
      <c r="BE66" s="419">
        <f>wage_rate*sickdays_1_tx</f>
        <v>37.119999999999997</v>
      </c>
      <c r="BF66" s="419">
        <f>wage_rate*sickdays_2_tx</f>
        <v>53.359999999999992</v>
      </c>
      <c r="BG66" s="419">
        <f>wage_rate*sickdays_3_tx</f>
        <v>0</v>
      </c>
      <c r="BH66" s="443">
        <f>wage_rate*sickdays_4_tx</f>
        <v>0</v>
      </c>
    </row>
    <row r="67" spans="1:651">
      <c r="B67" s="206"/>
      <c r="C67" s="8"/>
      <c r="D67" s="429" t="str">
        <f t="shared" si="94"/>
        <v>Ideal medicine Quality_Seek care_Private location_Other_Substandard Quality1</v>
      </c>
      <c r="E67" s="429">
        <f t="shared" si="69"/>
        <v>1000000</v>
      </c>
      <c r="F67" s="429" t="s">
        <v>407</v>
      </c>
      <c r="G67" s="429" t="s">
        <v>371</v>
      </c>
      <c r="H67" s="430">
        <f t="shared" si="70"/>
        <v>0.35</v>
      </c>
      <c r="I67" s="429" t="s">
        <v>402</v>
      </c>
      <c r="J67" s="430">
        <f t="shared" si="96"/>
        <v>0.5</v>
      </c>
      <c r="K67" s="429" t="s">
        <v>59</v>
      </c>
      <c r="L67" s="430">
        <f t="shared" si="104"/>
        <v>0.33333333333333331</v>
      </c>
      <c r="M67" s="429" t="s">
        <v>397</v>
      </c>
      <c r="N67" s="430">
        <f>p_p2_privo_ss1</f>
        <v>0</v>
      </c>
      <c r="O67" s="429" t="s">
        <v>396</v>
      </c>
      <c r="P67" s="430" t="s">
        <v>396</v>
      </c>
      <c r="Q67" s="429">
        <f t="shared" si="95"/>
        <v>0</v>
      </c>
      <c r="S67" s="425">
        <v>1</v>
      </c>
      <c r="U67" s="425">
        <f>(ly_tx-ly_notx)*p_txeff_ss1_s+ly_notx</f>
        <v>0</v>
      </c>
      <c r="V67" s="425">
        <f>(qaly_tx-qaly_notx)*p_txeff_ss1_s+qaly_notx</f>
        <v>0</v>
      </c>
      <c r="W67" s="425">
        <f>(daly_tx-daly_notx)*p_txeff_ss1_s+daly_notx</f>
        <v>0</v>
      </c>
      <c r="X67" s="425">
        <f>(death_tx-death_notx)*p_txeff_ss1_s+death_notx</f>
        <v>5.4000000000000003E-3</v>
      </c>
      <c r="Y67" s="425">
        <f>(custom1_tx-custom1_notx)*p_txeff_ss1_s+custom1_notx</f>
        <v>0.13700000000000001</v>
      </c>
      <c r="Z67" s="425">
        <f>(custom2_tx-custom2_notx)*p_txeff_ss1_s+custom2_notx</f>
        <v>5.4800000000000001E-2</v>
      </c>
      <c r="AA67" s="425">
        <f>(custom3_tx-custom3_notx)*p_txeff_ss1_s+custom3_notx</f>
        <v>0</v>
      </c>
      <c r="AB67" s="411">
        <f>(custom4_tx-custom4_notx)*p_txeff_ss1_s+custom4_notx</f>
        <v>0</v>
      </c>
      <c r="AD67" s="425">
        <f t="shared" si="73"/>
        <v>0</v>
      </c>
      <c r="AE67" s="425">
        <f t="shared" si="74"/>
        <v>0</v>
      </c>
      <c r="AF67" s="425">
        <f t="shared" si="75"/>
        <v>0</v>
      </c>
      <c r="AG67" s="425">
        <f t="shared" si="76"/>
        <v>0</v>
      </c>
      <c r="AH67" s="425">
        <f t="shared" si="77"/>
        <v>0</v>
      </c>
      <c r="AI67" s="425">
        <f t="shared" si="78"/>
        <v>0</v>
      </c>
      <c r="AJ67" s="425">
        <f t="shared" si="79"/>
        <v>0</v>
      </c>
      <c r="AK67" s="425">
        <f t="shared" si="80"/>
        <v>0</v>
      </c>
      <c r="AM67" s="425">
        <f t="shared" si="81"/>
        <v>0</v>
      </c>
      <c r="AN67" s="425">
        <f t="shared" si="82"/>
        <v>0</v>
      </c>
      <c r="AO67" s="425">
        <f t="shared" si="83"/>
        <v>0</v>
      </c>
      <c r="AP67" s="425">
        <f t="shared" si="84"/>
        <v>0</v>
      </c>
      <c r="AQ67" s="425">
        <f t="shared" si="85"/>
        <v>0</v>
      </c>
      <c r="AR67" s="425">
        <f t="shared" si="86"/>
        <v>0</v>
      </c>
      <c r="AS67" s="425">
        <f t="shared" si="87"/>
        <v>0</v>
      </c>
      <c r="AT67" s="425">
        <f t="shared" si="88"/>
        <v>0</v>
      </c>
      <c r="AU67" s="425">
        <f t="shared" si="89"/>
        <v>0</v>
      </c>
      <c r="AW67" s="425" t="s">
        <v>396</v>
      </c>
      <c r="AY67" s="419">
        <f t="shared" si="98"/>
        <v>0</v>
      </c>
      <c r="AZ67" s="419">
        <f t="shared" si="99"/>
        <v>258.93</v>
      </c>
      <c r="BA67" s="419">
        <f t="shared" si="100"/>
        <v>849</v>
      </c>
      <c r="BB67" s="419">
        <f t="shared" si="101"/>
        <v>0</v>
      </c>
      <c r="BC67" s="419">
        <f t="shared" si="102"/>
        <v>0</v>
      </c>
      <c r="BE67" s="419">
        <f>wage_rate*((sickdays_1_tx-sickdays_1_notx)*p_txeff_ss1_s+sickdays_1_notx)</f>
        <v>37.119999999999997</v>
      </c>
      <c r="BF67" s="419">
        <f>wage_rate*((sickdays_2_tx-sickdays_2_notx)*p_txeff_ss1_s+sickdays_2_notx)</f>
        <v>53.359999999999992</v>
      </c>
      <c r="BG67" s="419">
        <f>wage_rate*((sickdays_3_tx-sickdays_3_notx)*p_txeff_ss1_s+sickdays_3_notx)</f>
        <v>0</v>
      </c>
      <c r="BH67" s="443">
        <f>wage_rate*((sickdays_4_tx-sickdays_4_notx)*p_txeff_ss1_s+sickdays_4_notx)</f>
        <v>0</v>
      </c>
    </row>
    <row r="68" spans="1:651">
      <c r="B68" s="206"/>
      <c r="C68" s="8"/>
      <c r="D68" s="429" t="str">
        <f t="shared" si="94"/>
        <v>Ideal medicine Quality_Seek care_Private location_Other_Substandard Quality2</v>
      </c>
      <c r="E68" s="429">
        <f t="shared" si="69"/>
        <v>1000000</v>
      </c>
      <c r="F68" s="429" t="s">
        <v>407</v>
      </c>
      <c r="G68" s="429" t="s">
        <v>371</v>
      </c>
      <c r="H68" s="430">
        <f t="shared" si="70"/>
        <v>0.35</v>
      </c>
      <c r="I68" s="429" t="s">
        <v>402</v>
      </c>
      <c r="J68" s="430">
        <f t="shared" si="96"/>
        <v>0.5</v>
      </c>
      <c r="K68" s="429" t="s">
        <v>59</v>
      </c>
      <c r="L68" s="430">
        <f t="shared" si="104"/>
        <v>0.33333333333333331</v>
      </c>
      <c r="M68" s="429" t="s">
        <v>399</v>
      </c>
      <c r="N68" s="430">
        <f>p_p2_privo_ss2</f>
        <v>0</v>
      </c>
      <c r="O68" s="429" t="s">
        <v>396</v>
      </c>
      <c r="P68" s="430" t="s">
        <v>396</v>
      </c>
      <c r="Q68" s="429">
        <f t="shared" si="95"/>
        <v>0</v>
      </c>
      <c r="S68" s="425">
        <v>1</v>
      </c>
      <c r="U68" s="425">
        <f>(ly_tx-ly_notx)*p_txeff_ss2_s+ly_notx</f>
        <v>0</v>
      </c>
      <c r="V68" s="425">
        <f>(qaly_tx-qaly_notx)*p_txeff_ss2_s+qaly_notx</f>
        <v>0</v>
      </c>
      <c r="W68" s="425">
        <f>(daly_tx-daly_notx)*p_txeff_ss2_s+daly_notx</f>
        <v>0</v>
      </c>
      <c r="X68" s="425">
        <f>(death_tx-death_notx)*p_txeff_ss2_s+death_notx</f>
        <v>7.1999999999999998E-3</v>
      </c>
      <c r="Y68" s="425">
        <f>(custom1_tx-custom1_notx)*p_txeff_ss2_s+custom1_notx</f>
        <v>0.1835</v>
      </c>
      <c r="Z68" s="425">
        <f>(custom2_tx-custom2_notx)*p_txeff_ss2_s+custom2_notx</f>
        <v>7.3399999999999993E-2</v>
      </c>
      <c r="AA68" s="425">
        <f>(custom3_tx-custom3_notx)*p_txeff_ss2_s+custom3_notx</f>
        <v>0</v>
      </c>
      <c r="AB68" s="411">
        <f>(custom4_tx-custom4_notx)*p_txeff_ss2_s+custom4_notx</f>
        <v>0</v>
      </c>
      <c r="AD68" s="425">
        <f t="shared" si="73"/>
        <v>0</v>
      </c>
      <c r="AE68" s="425">
        <f t="shared" si="74"/>
        <v>0</v>
      </c>
      <c r="AF68" s="425">
        <f t="shared" si="75"/>
        <v>0</v>
      </c>
      <c r="AG68" s="425">
        <f t="shared" si="76"/>
        <v>0</v>
      </c>
      <c r="AH68" s="425">
        <f t="shared" si="77"/>
        <v>0</v>
      </c>
      <c r="AI68" s="425">
        <f t="shared" si="78"/>
        <v>0</v>
      </c>
      <c r="AJ68" s="425">
        <f t="shared" si="79"/>
        <v>0</v>
      </c>
      <c r="AK68" s="425">
        <f t="shared" si="80"/>
        <v>0</v>
      </c>
      <c r="AM68" s="425">
        <f t="shared" si="81"/>
        <v>0</v>
      </c>
      <c r="AN68" s="425">
        <f t="shared" si="82"/>
        <v>0</v>
      </c>
      <c r="AO68" s="425">
        <f t="shared" si="83"/>
        <v>0</v>
      </c>
      <c r="AP68" s="425">
        <f t="shared" si="84"/>
        <v>0</v>
      </c>
      <c r="AQ68" s="425">
        <f t="shared" si="85"/>
        <v>0</v>
      </c>
      <c r="AR68" s="425">
        <f t="shared" si="86"/>
        <v>0</v>
      </c>
      <c r="AS68" s="425">
        <f t="shared" si="87"/>
        <v>0</v>
      </c>
      <c r="AT68" s="425">
        <f t="shared" si="88"/>
        <v>0</v>
      </c>
      <c r="AU68" s="425">
        <f t="shared" si="89"/>
        <v>0</v>
      </c>
      <c r="AW68" s="425" t="s">
        <v>396</v>
      </c>
      <c r="AY68" s="419">
        <f t="shared" si="98"/>
        <v>0</v>
      </c>
      <c r="AZ68" s="419">
        <f t="shared" si="99"/>
        <v>258.93</v>
      </c>
      <c r="BA68" s="419">
        <f t="shared" si="100"/>
        <v>849</v>
      </c>
      <c r="BB68" s="419">
        <f t="shared" si="101"/>
        <v>0</v>
      </c>
      <c r="BC68" s="419">
        <f t="shared" si="102"/>
        <v>0</v>
      </c>
      <c r="BE68" s="419">
        <f>wage_rate*((sickdays_1_tx-sickdays_1_notx)*p_txeff_ss2_s+sickdays_1_notx)</f>
        <v>37.119999999999997</v>
      </c>
      <c r="BF68" s="419">
        <f>wage_rate*((sickdays_2_tx-sickdays_2_notx)*p_txeff_ss2_s+sickdays_2_notx)</f>
        <v>53.359999999999992</v>
      </c>
      <c r="BG68" s="419">
        <f>wage_rate*((sickdays_3_tx-sickdays_3_notx)*p_txeff_ss2_s+sickdays_3_notx)</f>
        <v>0</v>
      </c>
      <c r="BH68" s="443">
        <f>wage_rate*((sickdays_4_tx-sickdays_4_notx)*p_txeff_ss2_s+sickdays_4_notx)</f>
        <v>0</v>
      </c>
    </row>
    <row r="69" spans="1:651">
      <c r="B69" s="206"/>
      <c r="C69" s="8"/>
      <c r="D69" s="429" t="str">
        <f t="shared" si="94"/>
        <v>Ideal medicine Quality_Seek care_Private location_Other_Substandard Quality 3</v>
      </c>
      <c r="E69" s="429">
        <f t="shared" si="69"/>
        <v>1000000</v>
      </c>
      <c r="F69" s="429" t="s">
        <v>407</v>
      </c>
      <c r="G69" s="429" t="s">
        <v>371</v>
      </c>
      <c r="H69" s="430">
        <f t="shared" si="70"/>
        <v>0.35</v>
      </c>
      <c r="I69" s="429" t="s">
        <v>402</v>
      </c>
      <c r="J69" s="430">
        <f t="shared" si="96"/>
        <v>0.5</v>
      </c>
      <c r="K69" s="429" t="s">
        <v>59</v>
      </c>
      <c r="L69" s="430">
        <f t="shared" si="104"/>
        <v>0.33333333333333331</v>
      </c>
      <c r="M69" s="429" t="s">
        <v>400</v>
      </c>
      <c r="N69" s="430">
        <f>p_p2_privo_f</f>
        <v>0</v>
      </c>
      <c r="O69" s="429" t="s">
        <v>396</v>
      </c>
      <c r="P69" s="430" t="s">
        <v>396</v>
      </c>
      <c r="Q69" s="429">
        <f t="shared" si="95"/>
        <v>0</v>
      </c>
      <c r="S69" s="425">
        <v>1</v>
      </c>
      <c r="U69" s="425">
        <f>ly_notx</f>
        <v>0</v>
      </c>
      <c r="V69" s="425">
        <f>qaly_notx</f>
        <v>0</v>
      </c>
      <c r="W69" s="425">
        <f>daly_notx</f>
        <v>0</v>
      </c>
      <c r="X69" s="425">
        <f>death_notx</f>
        <v>8.9999999999999993E-3</v>
      </c>
      <c r="Y69" s="425">
        <f>custom1_notx</f>
        <v>0.23</v>
      </c>
      <c r="Z69" s="425">
        <f>custom2_notx</f>
        <v>9.1999999999999998E-2</v>
      </c>
      <c r="AA69" s="425">
        <f>custom3_notx</f>
        <v>0</v>
      </c>
      <c r="AB69" s="411">
        <f>custom4_notx</f>
        <v>0</v>
      </c>
      <c r="AD69" s="425">
        <f t="shared" si="73"/>
        <v>0</v>
      </c>
      <c r="AE69" s="425">
        <f t="shared" si="74"/>
        <v>0</v>
      </c>
      <c r="AF69" s="425">
        <f t="shared" si="75"/>
        <v>0</v>
      </c>
      <c r="AG69" s="425">
        <f t="shared" si="76"/>
        <v>0</v>
      </c>
      <c r="AH69" s="425">
        <f t="shared" si="77"/>
        <v>0</v>
      </c>
      <c r="AI69" s="425">
        <f t="shared" si="78"/>
        <v>0</v>
      </c>
      <c r="AJ69" s="425">
        <f t="shared" si="79"/>
        <v>0</v>
      </c>
      <c r="AK69" s="425">
        <f t="shared" si="80"/>
        <v>0</v>
      </c>
      <c r="AM69" s="425">
        <f t="shared" si="81"/>
        <v>0</v>
      </c>
      <c r="AN69" s="425">
        <f t="shared" si="82"/>
        <v>0</v>
      </c>
      <c r="AO69" s="425">
        <f t="shared" si="83"/>
        <v>0</v>
      </c>
      <c r="AP69" s="425">
        <f t="shared" si="84"/>
        <v>0</v>
      </c>
      <c r="AQ69" s="425">
        <f t="shared" si="85"/>
        <v>0</v>
      </c>
      <c r="AR69" s="425">
        <f t="shared" si="86"/>
        <v>0</v>
      </c>
      <c r="AS69" s="425">
        <f t="shared" si="87"/>
        <v>0</v>
      </c>
      <c r="AT69" s="425">
        <f t="shared" si="88"/>
        <v>0</v>
      </c>
      <c r="AU69" s="425">
        <f t="shared" si="89"/>
        <v>0</v>
      </c>
      <c r="AW69" s="425" t="s">
        <v>396</v>
      </c>
      <c r="AY69" s="419">
        <f t="shared" si="98"/>
        <v>0</v>
      </c>
      <c r="AZ69" s="419">
        <f t="shared" si="99"/>
        <v>258.93</v>
      </c>
      <c r="BA69" s="419">
        <f t="shared" si="100"/>
        <v>849</v>
      </c>
      <c r="BB69" s="419">
        <f t="shared" si="101"/>
        <v>0</v>
      </c>
      <c r="BC69" s="419">
        <f t="shared" si="102"/>
        <v>0</v>
      </c>
      <c r="BE69" s="419">
        <f>wage_rate*sickdays_1_notx</f>
        <v>37.119999999999997</v>
      </c>
      <c r="BF69" s="419">
        <f>wage_rate*sickdays_2_notx</f>
        <v>53.359999999999992</v>
      </c>
      <c r="BG69" s="419">
        <f>wage_rate*sickdays_3_notx</f>
        <v>0</v>
      </c>
      <c r="BH69" s="443">
        <f>wage_rate*sickdays_4_notx</f>
        <v>0</v>
      </c>
    </row>
    <row r="70" spans="1:651">
      <c r="B70" s="206"/>
      <c r="C70" s="8"/>
      <c r="D70" s="429" t="str">
        <f t="shared" ref="D70:D73" si="105">_xlfn.CONCAT(F70,"_",G70,"_",I70,"_",K70,"_",M70)</f>
        <v>Ideal medicine Quality_Seek care_Other location_Other_Standard Quality</v>
      </c>
      <c r="E70" s="429">
        <f t="shared" si="69"/>
        <v>1000000</v>
      </c>
      <c r="F70" s="429" t="s">
        <v>407</v>
      </c>
      <c r="G70" s="429" t="s">
        <v>371</v>
      </c>
      <c r="H70" s="430">
        <f t="shared" si="70"/>
        <v>0.35</v>
      </c>
      <c r="I70" s="429" t="s">
        <v>404</v>
      </c>
      <c r="J70" s="430">
        <f t="shared" ref="J70:J73" si="106">pop_receive_other</f>
        <v>0</v>
      </c>
      <c r="K70" s="429" t="s">
        <v>59</v>
      </c>
      <c r="L70" s="430">
        <v>1</v>
      </c>
      <c r="M70" s="429" t="s">
        <v>23</v>
      </c>
      <c r="N70" s="430">
        <f>p_p2_other_st</f>
        <v>1</v>
      </c>
      <c r="O70" s="429" t="s">
        <v>396</v>
      </c>
      <c r="P70" s="430" t="s">
        <v>396</v>
      </c>
      <c r="Q70" s="429">
        <f t="shared" si="95"/>
        <v>0</v>
      </c>
      <c r="S70" s="425">
        <v>1</v>
      </c>
      <c r="U70" s="425">
        <f>ly_tx</f>
        <v>0</v>
      </c>
      <c r="V70" s="425">
        <f>qaly_tx</f>
        <v>0</v>
      </c>
      <c r="W70" s="425">
        <f>daly_tx</f>
        <v>0</v>
      </c>
      <c r="X70" s="425">
        <f>death_tx</f>
        <v>3.0000000000000001E-3</v>
      </c>
      <c r="Y70" s="425">
        <f>custom1_tx</f>
        <v>7.4999999999999997E-2</v>
      </c>
      <c r="Z70" s="425">
        <f>custom2_tx</f>
        <v>0.03</v>
      </c>
      <c r="AA70" s="425">
        <f>custom3_tx</f>
        <v>0</v>
      </c>
      <c r="AB70" s="411">
        <f>custom4_tx</f>
        <v>0</v>
      </c>
      <c r="AD70" s="425">
        <f t="shared" si="73"/>
        <v>0</v>
      </c>
      <c r="AE70" s="425">
        <f t="shared" si="74"/>
        <v>0</v>
      </c>
      <c r="AF70" s="425">
        <f t="shared" si="75"/>
        <v>0</v>
      </c>
      <c r="AG70" s="425">
        <f t="shared" si="76"/>
        <v>0</v>
      </c>
      <c r="AH70" s="425">
        <f t="shared" si="77"/>
        <v>0</v>
      </c>
      <c r="AI70" s="425">
        <f t="shared" si="78"/>
        <v>0</v>
      </c>
      <c r="AJ70" s="425">
        <f t="shared" si="79"/>
        <v>0</v>
      </c>
      <c r="AK70" s="425">
        <f t="shared" si="80"/>
        <v>0</v>
      </c>
      <c r="AM70" s="425">
        <f t="shared" si="81"/>
        <v>0</v>
      </c>
      <c r="AN70" s="425">
        <f t="shared" si="82"/>
        <v>0</v>
      </c>
      <c r="AO70" s="425">
        <f t="shared" si="83"/>
        <v>0</v>
      </c>
      <c r="AP70" s="425">
        <f t="shared" si="84"/>
        <v>0</v>
      </c>
      <c r="AQ70" s="425">
        <f t="shared" si="85"/>
        <v>0</v>
      </c>
      <c r="AR70" s="425">
        <f t="shared" si="86"/>
        <v>0</v>
      </c>
      <c r="AS70" s="425">
        <f t="shared" si="87"/>
        <v>0</v>
      </c>
      <c r="AT70" s="425">
        <f t="shared" si="88"/>
        <v>0</v>
      </c>
      <c r="AU70" s="425">
        <f t="shared" si="89"/>
        <v>0</v>
      </c>
      <c r="AW70" s="425" t="s">
        <v>396</v>
      </c>
      <c r="AY70" s="419">
        <f>_xlfn.SINGLE(IF(AND(I70="Public location", K70="Hospital"),c_drug_pub_hos, c_drug_pub_hc))</f>
        <v>0</v>
      </c>
      <c r="AZ70" s="419">
        <f t="shared" ref="AZ70:AZ73" si="107">c_custom1_other</f>
        <v>258.93</v>
      </c>
      <c r="BA70" s="419">
        <f t="shared" ref="BA70:BA73" si="108">c_custom2_other</f>
        <v>849</v>
      </c>
      <c r="BB70" s="419">
        <f t="shared" ref="BB70:BB73" si="109">c_custom3_other</f>
        <v>0</v>
      </c>
      <c r="BC70" s="419">
        <f t="shared" ref="BC70:BC73" si="110">c_custom4_other</f>
        <v>0</v>
      </c>
      <c r="BE70" s="419">
        <f>wage_rate*sickdays_1_tx</f>
        <v>37.119999999999997</v>
      </c>
      <c r="BF70" s="419">
        <f>wage_rate*sickdays_2_tx</f>
        <v>53.359999999999992</v>
      </c>
      <c r="BG70" s="419">
        <f>wage_rate*sickdays_3_tx</f>
        <v>0</v>
      </c>
      <c r="BH70" s="443">
        <f>wage_rate*sickdays_4_tx</f>
        <v>0</v>
      </c>
    </row>
    <row r="71" spans="1:651">
      <c r="B71" s="206"/>
      <c r="C71" s="8"/>
      <c r="D71" s="429" t="str">
        <f t="shared" si="105"/>
        <v>Ideal medicine Quality_Seek care_Other location_Other_Substandard Quality1</v>
      </c>
      <c r="E71" s="429">
        <f t="shared" si="69"/>
        <v>1000000</v>
      </c>
      <c r="F71" s="429" t="s">
        <v>407</v>
      </c>
      <c r="G71" s="429" t="s">
        <v>371</v>
      </c>
      <c r="H71" s="430">
        <f t="shared" si="70"/>
        <v>0.35</v>
      </c>
      <c r="I71" s="429" t="s">
        <v>404</v>
      </c>
      <c r="J71" s="430">
        <f t="shared" si="106"/>
        <v>0</v>
      </c>
      <c r="K71" s="429" t="s">
        <v>59</v>
      </c>
      <c r="L71" s="430">
        <v>1</v>
      </c>
      <c r="M71" s="429" t="s">
        <v>397</v>
      </c>
      <c r="N71" s="430">
        <f>p_p2_other_ss1</f>
        <v>0</v>
      </c>
      <c r="O71" s="429" t="s">
        <v>396</v>
      </c>
      <c r="P71" s="430" t="s">
        <v>396</v>
      </c>
      <c r="Q71" s="429">
        <f t="shared" si="95"/>
        <v>0</v>
      </c>
      <c r="S71" s="425">
        <v>1</v>
      </c>
      <c r="U71" s="425">
        <f>(ly_tx-ly_notx)*p_txeff_ss1_s+ly_notx</f>
        <v>0</v>
      </c>
      <c r="V71" s="425">
        <f>(qaly_tx-qaly_notx)*p_txeff_ss1_s+qaly_notx</f>
        <v>0</v>
      </c>
      <c r="W71" s="425">
        <f>(daly_tx-daly_notx)*p_txeff_ss1_s+daly_notx</f>
        <v>0</v>
      </c>
      <c r="X71" s="425">
        <f>(death_tx-death_notx)*p_txeff_ss1_s+death_notx</f>
        <v>5.4000000000000003E-3</v>
      </c>
      <c r="Y71" s="425">
        <f>(custom1_tx-custom1_notx)*p_txeff_ss1_s+custom1_notx</f>
        <v>0.13700000000000001</v>
      </c>
      <c r="Z71" s="425">
        <f>(custom2_tx-custom2_notx)*p_txeff_ss1_s+custom2_notx</f>
        <v>5.4800000000000001E-2</v>
      </c>
      <c r="AA71" s="425">
        <f>(custom3_tx-custom3_notx)*p_txeff_ss1_s+custom3_notx</f>
        <v>0</v>
      </c>
      <c r="AB71" s="411">
        <f>(custom4_tx-custom4_notx)*p_txeff_ss1_s+custom4_notx</f>
        <v>0</v>
      </c>
      <c r="AD71" s="425">
        <f t="shared" si="73"/>
        <v>0</v>
      </c>
      <c r="AE71" s="425">
        <f t="shared" si="74"/>
        <v>0</v>
      </c>
      <c r="AF71" s="425">
        <f t="shared" si="75"/>
        <v>0</v>
      </c>
      <c r="AG71" s="425">
        <f t="shared" si="76"/>
        <v>0</v>
      </c>
      <c r="AH71" s="425">
        <f t="shared" si="77"/>
        <v>0</v>
      </c>
      <c r="AI71" s="425">
        <f t="shared" si="78"/>
        <v>0</v>
      </c>
      <c r="AJ71" s="425">
        <f t="shared" si="79"/>
        <v>0</v>
      </c>
      <c r="AK71" s="425">
        <f t="shared" si="80"/>
        <v>0</v>
      </c>
      <c r="AM71" s="425">
        <f t="shared" si="81"/>
        <v>0</v>
      </c>
      <c r="AN71" s="425">
        <f t="shared" si="82"/>
        <v>0</v>
      </c>
      <c r="AO71" s="425">
        <f t="shared" si="83"/>
        <v>0</v>
      </c>
      <c r="AP71" s="425">
        <f t="shared" si="84"/>
        <v>0</v>
      </c>
      <c r="AQ71" s="425">
        <f t="shared" si="85"/>
        <v>0</v>
      </c>
      <c r="AR71" s="425">
        <f t="shared" si="86"/>
        <v>0</v>
      </c>
      <c r="AS71" s="425">
        <f t="shared" si="87"/>
        <v>0</v>
      </c>
      <c r="AT71" s="425">
        <f t="shared" si="88"/>
        <v>0</v>
      </c>
      <c r="AU71" s="425">
        <f t="shared" si="89"/>
        <v>0</v>
      </c>
      <c r="AW71" s="425" t="s">
        <v>396</v>
      </c>
      <c r="AY71" s="419">
        <f>_xlfn.SINGLE(IF(AND(I71="Public location", K71="Hospital"),c_drug_pub_hos, c_drug_pub_hc))</f>
        <v>0</v>
      </c>
      <c r="AZ71" s="419">
        <f t="shared" si="107"/>
        <v>258.93</v>
      </c>
      <c r="BA71" s="419">
        <f t="shared" si="108"/>
        <v>849</v>
      </c>
      <c r="BB71" s="419">
        <f t="shared" si="109"/>
        <v>0</v>
      </c>
      <c r="BC71" s="419">
        <f t="shared" si="110"/>
        <v>0</v>
      </c>
      <c r="BE71" s="419">
        <f>wage_rate*((sickdays_1_tx-sickdays_1_notx)*p_txeff_ss1_s+sickdays_1_notx)</f>
        <v>37.119999999999997</v>
      </c>
      <c r="BF71" s="419">
        <f>wage_rate*((sickdays_2_tx-sickdays_2_notx)*p_txeff_ss1_s+sickdays_2_notx)</f>
        <v>53.359999999999992</v>
      </c>
      <c r="BG71" s="419">
        <f>wage_rate*((sickdays_3_tx-sickdays_3_notx)*p_txeff_ss1_s+sickdays_3_notx)</f>
        <v>0</v>
      </c>
      <c r="BH71" s="443">
        <f>wage_rate*((sickdays_4_tx-sickdays_4_notx)*p_txeff_ss1_s+sickdays_4_notx)</f>
        <v>0</v>
      </c>
    </row>
    <row r="72" spans="1:651">
      <c r="B72" s="206"/>
      <c r="C72" s="8"/>
      <c r="D72" s="429" t="str">
        <f t="shared" si="105"/>
        <v>Ideal medicine Quality_Seek care_Other location_Other_Substandard Quality2</v>
      </c>
      <c r="E72" s="429">
        <f t="shared" si="69"/>
        <v>1000000</v>
      </c>
      <c r="F72" s="429" t="s">
        <v>407</v>
      </c>
      <c r="G72" s="429" t="s">
        <v>371</v>
      </c>
      <c r="H72" s="430">
        <f t="shared" si="70"/>
        <v>0.35</v>
      </c>
      <c r="I72" s="429" t="s">
        <v>404</v>
      </c>
      <c r="J72" s="430">
        <f t="shared" si="106"/>
        <v>0</v>
      </c>
      <c r="K72" s="429" t="s">
        <v>59</v>
      </c>
      <c r="L72" s="430">
        <v>1</v>
      </c>
      <c r="M72" s="429" t="s">
        <v>399</v>
      </c>
      <c r="N72" s="430">
        <f>p_p2_other_ss2</f>
        <v>0</v>
      </c>
      <c r="O72" s="429" t="s">
        <v>396</v>
      </c>
      <c r="P72" s="430" t="s">
        <v>396</v>
      </c>
      <c r="Q72" s="429">
        <f t="shared" si="95"/>
        <v>0</v>
      </c>
      <c r="S72" s="425">
        <v>1</v>
      </c>
      <c r="U72" s="425">
        <f>(ly_tx-ly_notx)*p_txeff_ss2_s+ly_notx</f>
        <v>0</v>
      </c>
      <c r="V72" s="425">
        <f>(qaly_tx-qaly_notx)*p_txeff_ss2_s+qaly_notx</f>
        <v>0</v>
      </c>
      <c r="W72" s="425">
        <f>(daly_tx-daly_notx)*p_txeff_ss2_s+daly_notx</f>
        <v>0</v>
      </c>
      <c r="X72" s="425">
        <f>(death_tx-death_notx)*p_txeff_ss2_s+death_notx</f>
        <v>7.1999999999999998E-3</v>
      </c>
      <c r="Y72" s="425">
        <f>(custom1_tx-custom1_notx)*p_txeff_ss2_s+custom1_notx</f>
        <v>0.1835</v>
      </c>
      <c r="Z72" s="425">
        <f>(custom2_tx-custom2_notx)*p_txeff_ss2_s+custom2_notx</f>
        <v>7.3399999999999993E-2</v>
      </c>
      <c r="AA72" s="425">
        <f>(custom3_tx-custom3_notx)*p_txeff_ss2_s+custom3_notx</f>
        <v>0</v>
      </c>
      <c r="AB72" s="411">
        <f>(custom4_tx-custom4_notx)*p_txeff_ss2_s+custom4_notx</f>
        <v>0</v>
      </c>
      <c r="AD72" s="425">
        <f t="shared" si="73"/>
        <v>0</v>
      </c>
      <c r="AE72" s="425">
        <f t="shared" si="74"/>
        <v>0</v>
      </c>
      <c r="AF72" s="425">
        <f t="shared" si="75"/>
        <v>0</v>
      </c>
      <c r="AG72" s="425">
        <f t="shared" si="76"/>
        <v>0</v>
      </c>
      <c r="AH72" s="425">
        <f t="shared" si="77"/>
        <v>0</v>
      </c>
      <c r="AI72" s="425">
        <f t="shared" si="78"/>
        <v>0</v>
      </c>
      <c r="AJ72" s="425">
        <f t="shared" si="79"/>
        <v>0</v>
      </c>
      <c r="AK72" s="425">
        <f t="shared" si="80"/>
        <v>0</v>
      </c>
      <c r="AM72" s="425">
        <f t="shared" si="81"/>
        <v>0</v>
      </c>
      <c r="AN72" s="425">
        <f t="shared" si="82"/>
        <v>0</v>
      </c>
      <c r="AO72" s="425">
        <f t="shared" si="83"/>
        <v>0</v>
      </c>
      <c r="AP72" s="425">
        <f t="shared" si="84"/>
        <v>0</v>
      </c>
      <c r="AQ72" s="425">
        <f t="shared" si="85"/>
        <v>0</v>
      </c>
      <c r="AR72" s="425">
        <f t="shared" si="86"/>
        <v>0</v>
      </c>
      <c r="AS72" s="425">
        <f t="shared" si="87"/>
        <v>0</v>
      </c>
      <c r="AT72" s="425">
        <f t="shared" si="88"/>
        <v>0</v>
      </c>
      <c r="AU72" s="425">
        <f t="shared" si="89"/>
        <v>0</v>
      </c>
      <c r="AW72" s="425" t="s">
        <v>396</v>
      </c>
      <c r="AY72" s="419">
        <f>_xlfn.SINGLE(IF(AND(I72="Public location", K72="Hospital"),c_drug_pub_hos, c_drug_pub_hc))</f>
        <v>0</v>
      </c>
      <c r="AZ72" s="419">
        <f t="shared" si="107"/>
        <v>258.93</v>
      </c>
      <c r="BA72" s="419">
        <f t="shared" si="108"/>
        <v>849</v>
      </c>
      <c r="BB72" s="419">
        <f t="shared" si="109"/>
        <v>0</v>
      </c>
      <c r="BC72" s="419">
        <f t="shared" si="110"/>
        <v>0</v>
      </c>
      <c r="BE72" s="419">
        <f>wage_rate*((sickdays_1_tx-sickdays_1_notx)*p_txeff_ss2_s+sickdays_1_notx)</f>
        <v>37.119999999999997</v>
      </c>
      <c r="BF72" s="419">
        <f>wage_rate*((sickdays_2_tx-sickdays_2_notx)*p_txeff_ss2_s+sickdays_2_notx)</f>
        <v>53.359999999999992</v>
      </c>
      <c r="BG72" s="419">
        <f>wage_rate*((sickdays_3_tx-sickdays_3_notx)*p_txeff_ss2_s+sickdays_3_notx)</f>
        <v>0</v>
      </c>
      <c r="BH72" s="443">
        <f>wage_rate*((sickdays_4_tx-sickdays_4_notx)*p_txeff_ss2_s+sickdays_4_notx)</f>
        <v>0</v>
      </c>
    </row>
    <row r="73" spans="1:651">
      <c r="B73" s="206"/>
      <c r="C73" s="8"/>
      <c r="D73" s="429" t="str">
        <f t="shared" si="105"/>
        <v>Ideal medicine Quality_Seek care_Other location_Other_Substandard Quality 3</v>
      </c>
      <c r="E73" s="429">
        <f t="shared" si="69"/>
        <v>1000000</v>
      </c>
      <c r="F73" s="429" t="s">
        <v>407</v>
      </c>
      <c r="G73" s="429" t="s">
        <v>371</v>
      </c>
      <c r="H73" s="430">
        <f t="shared" si="70"/>
        <v>0.35</v>
      </c>
      <c r="I73" s="429" t="s">
        <v>404</v>
      </c>
      <c r="J73" s="430">
        <f t="shared" si="106"/>
        <v>0</v>
      </c>
      <c r="K73" s="429" t="s">
        <v>59</v>
      </c>
      <c r="L73" s="430">
        <v>1</v>
      </c>
      <c r="M73" s="429" t="s">
        <v>400</v>
      </c>
      <c r="N73" s="430">
        <f>p_p2_other_f</f>
        <v>0</v>
      </c>
      <c r="O73" s="429" t="s">
        <v>396</v>
      </c>
      <c r="P73" s="430" t="s">
        <v>396</v>
      </c>
      <c r="Q73" s="429">
        <f t="shared" si="95"/>
        <v>0</v>
      </c>
      <c r="S73" s="425">
        <v>1</v>
      </c>
      <c r="U73" s="425">
        <f>ly_notx</f>
        <v>0</v>
      </c>
      <c r="V73" s="425">
        <f>qaly_notx</f>
        <v>0</v>
      </c>
      <c r="W73" s="425">
        <f>daly_notx</f>
        <v>0</v>
      </c>
      <c r="X73" s="425">
        <f>death_notx</f>
        <v>8.9999999999999993E-3</v>
      </c>
      <c r="Y73" s="425">
        <f>custom1_notx</f>
        <v>0.23</v>
      </c>
      <c r="Z73" s="425">
        <f>custom2_notx</f>
        <v>9.1999999999999998E-2</v>
      </c>
      <c r="AA73" s="425">
        <f>custom3_notx</f>
        <v>0</v>
      </c>
      <c r="AB73" s="411">
        <f>custom4_notx</f>
        <v>0</v>
      </c>
      <c r="AD73" s="425">
        <f t="shared" si="73"/>
        <v>0</v>
      </c>
      <c r="AE73" s="425">
        <f t="shared" si="74"/>
        <v>0</v>
      </c>
      <c r="AF73" s="425">
        <f t="shared" si="75"/>
        <v>0</v>
      </c>
      <c r="AG73" s="425">
        <f t="shared" si="76"/>
        <v>0</v>
      </c>
      <c r="AH73" s="425">
        <f t="shared" si="77"/>
        <v>0</v>
      </c>
      <c r="AI73" s="425">
        <f t="shared" si="78"/>
        <v>0</v>
      </c>
      <c r="AJ73" s="425">
        <f t="shared" si="79"/>
        <v>0</v>
      </c>
      <c r="AK73" s="425">
        <f t="shared" si="80"/>
        <v>0</v>
      </c>
      <c r="AM73" s="425">
        <f t="shared" si="81"/>
        <v>0</v>
      </c>
      <c r="AN73" s="425">
        <f t="shared" si="82"/>
        <v>0</v>
      </c>
      <c r="AO73" s="425">
        <f t="shared" si="83"/>
        <v>0</v>
      </c>
      <c r="AP73" s="425">
        <f t="shared" si="84"/>
        <v>0</v>
      </c>
      <c r="AQ73" s="425">
        <f t="shared" si="85"/>
        <v>0</v>
      </c>
      <c r="AR73" s="425">
        <f t="shared" si="86"/>
        <v>0</v>
      </c>
      <c r="AS73" s="425">
        <f t="shared" si="87"/>
        <v>0</v>
      </c>
      <c r="AT73" s="425">
        <f t="shared" si="88"/>
        <v>0</v>
      </c>
      <c r="AU73" s="425">
        <f t="shared" si="89"/>
        <v>0</v>
      </c>
      <c r="AW73" s="425" t="s">
        <v>396</v>
      </c>
      <c r="AY73" s="419">
        <f>_xlfn.SINGLE(IF(AND(I73="Public location", K73="Hospital"),c_drug_pub_hos, c_drug_pub_hc))</f>
        <v>0</v>
      </c>
      <c r="AZ73" s="419">
        <f t="shared" si="107"/>
        <v>258.93</v>
      </c>
      <c r="BA73" s="419">
        <f t="shared" si="108"/>
        <v>849</v>
      </c>
      <c r="BB73" s="419">
        <f t="shared" si="109"/>
        <v>0</v>
      </c>
      <c r="BC73" s="419">
        <f t="shared" si="110"/>
        <v>0</v>
      </c>
      <c r="BE73" s="419">
        <f>wage_rate*sickdays_1_notx</f>
        <v>37.119999999999997</v>
      </c>
      <c r="BF73" s="419">
        <f>wage_rate*sickdays_2_notx</f>
        <v>53.359999999999992</v>
      </c>
      <c r="BG73" s="419">
        <f>wage_rate*sickdays_3_notx</f>
        <v>0</v>
      </c>
      <c r="BH73" s="443">
        <f>wage_rate*sickdays_4_notx</f>
        <v>0</v>
      </c>
    </row>
    <row r="74" spans="1:651">
      <c r="B74" s="206"/>
      <c r="C74" s="8"/>
      <c r="D74" s="429" t="str">
        <f>_xlfn.CONCAT(F74,"_",G74,I74,K74,M74)</f>
        <v>Ideal medicine Quality_Does not seek care</v>
      </c>
      <c r="E74" s="429">
        <f t="shared" si="69"/>
        <v>1000000</v>
      </c>
      <c r="F74" s="429" t="s">
        <v>407</v>
      </c>
      <c r="G74" s="429" t="s">
        <v>405</v>
      </c>
      <c r="H74" s="430">
        <f>1-pop_seek</f>
        <v>0.65</v>
      </c>
      <c r="I74" s="429"/>
      <c r="J74" s="430"/>
      <c r="K74" s="429"/>
      <c r="L74" s="430"/>
      <c r="M74" s="429"/>
      <c r="N74" s="430"/>
      <c r="O74" s="429" t="s">
        <v>396</v>
      </c>
      <c r="P74" s="430" t="s">
        <v>396</v>
      </c>
      <c r="Q74" s="429">
        <f>H74</f>
        <v>0.65</v>
      </c>
      <c r="S74" s="425">
        <v>0</v>
      </c>
      <c r="U74" s="425">
        <f>ly_notx</f>
        <v>0</v>
      </c>
      <c r="V74" s="425">
        <f>qaly_notx</f>
        <v>0</v>
      </c>
      <c r="W74" s="425">
        <f>daly_notx</f>
        <v>0</v>
      </c>
      <c r="X74" s="425">
        <f>death_notx</f>
        <v>8.9999999999999993E-3</v>
      </c>
      <c r="Y74" s="425">
        <f>custom1_notx</f>
        <v>0.23</v>
      </c>
      <c r="Z74" s="425">
        <f>custom2_notx</f>
        <v>9.1999999999999998E-2</v>
      </c>
      <c r="AA74" s="425">
        <f>custom3_notx</f>
        <v>0</v>
      </c>
      <c r="AB74" s="411">
        <f>custom3_notx</f>
        <v>0</v>
      </c>
      <c r="AD74" s="425">
        <f t="shared" si="73"/>
        <v>0</v>
      </c>
      <c r="AE74" s="425">
        <f t="shared" si="74"/>
        <v>0</v>
      </c>
      <c r="AF74" s="425">
        <f t="shared" si="75"/>
        <v>0</v>
      </c>
      <c r="AG74" s="425">
        <f t="shared" si="76"/>
        <v>5.8500000000000002E-3</v>
      </c>
      <c r="AH74" s="425">
        <f t="shared" si="77"/>
        <v>0.14950000000000002</v>
      </c>
      <c r="AI74" s="425">
        <f t="shared" si="78"/>
        <v>5.9799999999999999E-2</v>
      </c>
      <c r="AJ74" s="425">
        <f t="shared" si="79"/>
        <v>0</v>
      </c>
      <c r="AK74" s="425">
        <f t="shared" si="80"/>
        <v>0</v>
      </c>
      <c r="AM74" s="425">
        <f t="shared" si="81"/>
        <v>650000</v>
      </c>
      <c r="AN74" s="425">
        <f t="shared" si="82"/>
        <v>0</v>
      </c>
      <c r="AO74" s="425">
        <f t="shared" si="83"/>
        <v>0</v>
      </c>
      <c r="AP74" s="425">
        <f t="shared" si="84"/>
        <v>0</v>
      </c>
      <c r="AQ74" s="425">
        <f t="shared" si="85"/>
        <v>5850</v>
      </c>
      <c r="AR74" s="425">
        <f t="shared" si="86"/>
        <v>149500.00000000003</v>
      </c>
      <c r="AS74" s="425">
        <f t="shared" si="87"/>
        <v>59800</v>
      </c>
      <c r="AT74" s="425">
        <f t="shared" si="88"/>
        <v>0</v>
      </c>
      <c r="AU74" s="425">
        <f t="shared" si="89"/>
        <v>0</v>
      </c>
      <c r="AW74" s="425" t="s">
        <v>396</v>
      </c>
      <c r="AY74" s="419">
        <v>0</v>
      </c>
      <c r="AZ74" s="419">
        <v>0</v>
      </c>
      <c r="BA74" s="419">
        <v>0</v>
      </c>
      <c r="BB74" s="419">
        <v>0</v>
      </c>
      <c r="BC74" s="419">
        <v>0</v>
      </c>
      <c r="BE74" s="419">
        <f>wage_rate*sickdays_1_notx</f>
        <v>37.119999999999997</v>
      </c>
      <c r="BF74" s="419">
        <f>wage_rate*sickdays_2_notx</f>
        <v>53.359999999999992</v>
      </c>
      <c r="BG74" s="419">
        <f>wage_rate*sickdays_3_notx</f>
        <v>0</v>
      </c>
      <c r="BH74" s="443">
        <f>wage_rate*sickdays_4_notx</f>
        <v>0</v>
      </c>
    </row>
    <row r="75" spans="1:651" s="404" customFormat="1" ht="19" customHeight="1">
      <c r="A75" s="578"/>
      <c r="B75" s="579"/>
      <c r="C75" s="581"/>
      <c r="D75" s="432" t="s">
        <v>406</v>
      </c>
      <c r="E75" s="437"/>
      <c r="F75" s="437"/>
      <c r="G75" s="437"/>
      <c r="H75" s="438"/>
      <c r="I75" s="437"/>
      <c r="J75" s="438"/>
      <c r="K75" s="437"/>
      <c r="L75" s="438"/>
      <c r="M75" s="437"/>
      <c r="N75" s="438"/>
      <c r="O75" s="437"/>
      <c r="P75" s="438"/>
      <c r="Q75" s="437">
        <f>SUM(Q50:Q74)</f>
        <v>1</v>
      </c>
      <c r="AE75" s="439">
        <f>SUM(pr_branch_qaly_ideal)</f>
        <v>0</v>
      </c>
      <c r="AG75" s="404">
        <f>SUM(pr_branch_death_ideal)</f>
        <v>6.8999999999999999E-3</v>
      </c>
      <c r="AM75" s="404">
        <f>SUM(AM50:AM74)</f>
        <v>1000000</v>
      </c>
      <c r="AW75" s="440"/>
      <c r="AY75" s="441"/>
      <c r="AZ75" s="441"/>
      <c r="BA75" s="441"/>
      <c r="BB75" s="441"/>
      <c r="BC75" s="441"/>
      <c r="BE75" s="441"/>
      <c r="BF75" s="441"/>
      <c r="BG75" s="441"/>
      <c r="BH75" s="441"/>
      <c r="BI75" s="79"/>
      <c r="BJ75" s="79"/>
      <c r="BK75" s="79"/>
      <c r="BL75" s="79"/>
      <c r="BM75" s="79"/>
      <c r="BN75" s="79"/>
      <c r="BO75" s="79"/>
      <c r="BP75" s="79"/>
      <c r="BQ75" s="79"/>
      <c r="BR75" s="79"/>
      <c r="BS75" s="79"/>
      <c r="BT75" s="79"/>
      <c r="BU75" s="79"/>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c r="EO75" s="79"/>
      <c r="EP75" s="79"/>
      <c r="EQ75" s="79"/>
      <c r="ER75" s="79"/>
      <c r="ES75" s="79"/>
      <c r="ET75" s="79"/>
      <c r="EU75" s="79"/>
      <c r="EV75" s="79"/>
      <c r="EW75" s="79"/>
      <c r="EX75" s="79"/>
      <c r="EY75" s="79"/>
      <c r="EZ75" s="79"/>
      <c r="FA75" s="79"/>
      <c r="FB75" s="79"/>
      <c r="FC75" s="79"/>
      <c r="FD75" s="79"/>
      <c r="FE75" s="79"/>
      <c r="FF75" s="79"/>
      <c r="FG75" s="79"/>
      <c r="FH75" s="79"/>
      <c r="FI75" s="79"/>
      <c r="FJ75" s="79"/>
      <c r="FK75" s="79"/>
      <c r="FL75" s="79"/>
      <c r="FM75" s="79"/>
      <c r="FN75" s="79"/>
      <c r="FO75" s="79"/>
      <c r="FP75" s="79"/>
      <c r="FQ75" s="79"/>
      <c r="FR75" s="79"/>
      <c r="FS75" s="79"/>
      <c r="FT75" s="79"/>
      <c r="FU75" s="79"/>
      <c r="FV75" s="79"/>
      <c r="FW75" s="79"/>
      <c r="FX75" s="79"/>
      <c r="FY75" s="79"/>
      <c r="FZ75" s="79"/>
      <c r="GA75" s="79"/>
      <c r="GB75" s="79"/>
      <c r="GC75" s="79"/>
      <c r="GD75" s="79"/>
      <c r="GE75" s="79"/>
      <c r="GF75" s="79"/>
      <c r="GG75" s="79"/>
      <c r="GH75" s="79"/>
      <c r="GI75" s="79"/>
      <c r="GJ75" s="79"/>
      <c r="GK75" s="79"/>
      <c r="GL75" s="79"/>
      <c r="GM75" s="79"/>
      <c r="GN75" s="79"/>
      <c r="GO75" s="79"/>
      <c r="GP75" s="79"/>
      <c r="GQ75" s="79"/>
      <c r="GR75" s="79"/>
      <c r="GS75" s="79"/>
      <c r="GT75" s="79"/>
      <c r="GU75" s="79"/>
      <c r="GV75" s="79"/>
      <c r="GW75" s="79"/>
      <c r="GX75" s="79"/>
      <c r="GY75" s="79"/>
      <c r="GZ75" s="79"/>
      <c r="HA75" s="79"/>
      <c r="HB75" s="79"/>
      <c r="HC75" s="79"/>
      <c r="HD75" s="79"/>
      <c r="HE75" s="79"/>
      <c r="HF75" s="79"/>
      <c r="HG75" s="79"/>
      <c r="HH75" s="79"/>
      <c r="HI75" s="79"/>
      <c r="HJ75" s="79"/>
      <c r="HK75" s="79"/>
      <c r="HL75" s="79"/>
      <c r="HM75" s="79"/>
      <c r="HN75" s="79"/>
      <c r="HO75" s="79"/>
      <c r="HP75" s="79"/>
      <c r="HQ75" s="79"/>
      <c r="HR75" s="79"/>
      <c r="HS75" s="79"/>
      <c r="HT75" s="79"/>
      <c r="HU75" s="79"/>
      <c r="HV75" s="79"/>
      <c r="HW75" s="79"/>
      <c r="HX75" s="79"/>
      <c r="HY75" s="79"/>
      <c r="HZ75" s="79"/>
      <c r="IA75" s="79"/>
      <c r="IB75" s="79"/>
      <c r="IC75" s="79"/>
      <c r="ID75" s="79"/>
      <c r="IE75" s="79"/>
      <c r="IF75" s="79"/>
      <c r="IG75" s="79"/>
      <c r="IH75" s="79"/>
      <c r="II75" s="79"/>
      <c r="IJ75" s="79"/>
      <c r="IK75" s="79"/>
      <c r="IL75" s="79"/>
      <c r="IM75" s="79"/>
      <c r="IN75" s="79"/>
      <c r="IO75" s="79"/>
      <c r="IP75" s="79"/>
      <c r="IQ75" s="79"/>
      <c r="IR75" s="79"/>
      <c r="IS75" s="79"/>
      <c r="IT75" s="79"/>
      <c r="IU75" s="79"/>
      <c r="IV75" s="79"/>
      <c r="IW75" s="79"/>
      <c r="IX75" s="79"/>
      <c r="IY75" s="79"/>
      <c r="IZ75" s="79"/>
      <c r="JA75" s="79"/>
      <c r="JB75" s="79"/>
      <c r="JC75" s="79"/>
      <c r="JD75" s="79"/>
      <c r="JE75" s="79"/>
      <c r="JF75" s="79"/>
      <c r="JG75" s="79"/>
      <c r="JH75" s="79"/>
      <c r="JI75" s="79"/>
      <c r="JJ75" s="79"/>
      <c r="JK75" s="79"/>
      <c r="JL75" s="79"/>
      <c r="JM75" s="79"/>
      <c r="JN75" s="79"/>
      <c r="JO75" s="79"/>
      <c r="JP75" s="79"/>
      <c r="JQ75" s="79"/>
      <c r="JR75" s="79"/>
      <c r="JS75" s="79"/>
      <c r="JT75" s="79"/>
      <c r="JU75" s="79"/>
      <c r="JV75" s="79"/>
      <c r="JW75" s="79"/>
      <c r="JX75" s="79"/>
      <c r="JY75" s="79"/>
      <c r="JZ75" s="79"/>
      <c r="KA75" s="79"/>
      <c r="KB75" s="79"/>
      <c r="KC75" s="79"/>
      <c r="KD75" s="79"/>
      <c r="KE75" s="79"/>
      <c r="KF75" s="79"/>
      <c r="KG75" s="79"/>
      <c r="KH75" s="79"/>
      <c r="KI75" s="79"/>
      <c r="KJ75" s="79"/>
      <c r="KK75" s="79"/>
      <c r="KL75" s="79"/>
      <c r="KM75" s="79"/>
      <c r="KN75" s="79"/>
      <c r="KO75" s="79"/>
      <c r="KP75" s="79"/>
      <c r="KQ75" s="79"/>
      <c r="KR75" s="79"/>
      <c r="KS75" s="79"/>
      <c r="KT75" s="79"/>
      <c r="KU75" s="79"/>
      <c r="KV75" s="79"/>
      <c r="KW75" s="79"/>
      <c r="KX75" s="79"/>
      <c r="KY75" s="79"/>
      <c r="KZ75" s="79"/>
      <c r="LA75" s="79"/>
      <c r="LB75" s="79"/>
      <c r="LC75" s="79"/>
      <c r="LD75" s="79"/>
      <c r="LE75" s="79"/>
      <c r="LF75" s="79"/>
      <c r="LG75" s="79"/>
      <c r="LH75" s="79"/>
      <c r="LI75" s="79"/>
      <c r="LJ75" s="79"/>
      <c r="LK75" s="79"/>
      <c r="LL75" s="79"/>
      <c r="LM75" s="79"/>
      <c r="LN75" s="79"/>
      <c r="LO75" s="79"/>
      <c r="LP75" s="79"/>
      <c r="LQ75" s="79"/>
      <c r="LR75" s="79"/>
      <c r="LS75" s="79"/>
      <c r="LT75" s="79"/>
      <c r="LU75" s="79"/>
      <c r="LV75" s="79"/>
      <c r="LW75" s="79"/>
      <c r="LX75" s="79"/>
      <c r="LY75" s="79"/>
      <c r="LZ75" s="79"/>
      <c r="MA75" s="79"/>
      <c r="MB75" s="79"/>
      <c r="MC75" s="79"/>
      <c r="MD75" s="79"/>
      <c r="ME75" s="79"/>
      <c r="MF75" s="79"/>
      <c r="MG75" s="79"/>
      <c r="MH75" s="79"/>
      <c r="MI75" s="79"/>
      <c r="MJ75" s="79"/>
      <c r="MK75" s="79"/>
      <c r="ML75" s="79"/>
      <c r="MM75" s="79"/>
      <c r="MN75" s="79"/>
      <c r="MO75" s="79"/>
      <c r="MP75" s="79"/>
      <c r="MQ75" s="79"/>
      <c r="MR75" s="79"/>
      <c r="MS75" s="79"/>
      <c r="MT75" s="79"/>
      <c r="MU75" s="79"/>
      <c r="MV75" s="79"/>
      <c r="MW75" s="79"/>
      <c r="MX75" s="79"/>
      <c r="MY75" s="79"/>
      <c r="MZ75" s="79"/>
      <c r="NA75" s="79"/>
      <c r="NB75" s="79"/>
      <c r="NC75" s="79"/>
      <c r="ND75" s="79"/>
      <c r="NE75" s="79"/>
      <c r="NF75" s="79"/>
      <c r="NG75" s="79"/>
      <c r="NH75" s="79"/>
      <c r="NI75" s="79"/>
      <c r="NJ75" s="79"/>
      <c r="NK75" s="79"/>
      <c r="NL75" s="79"/>
      <c r="NM75" s="79"/>
      <c r="NN75" s="79"/>
      <c r="NO75" s="79"/>
      <c r="NP75" s="79"/>
      <c r="NQ75" s="79"/>
      <c r="NR75" s="79"/>
      <c r="NS75" s="79"/>
      <c r="NT75" s="79"/>
      <c r="NU75" s="79"/>
      <c r="NV75" s="79"/>
      <c r="NW75" s="79"/>
      <c r="NX75" s="79"/>
      <c r="NY75" s="79"/>
      <c r="NZ75" s="79"/>
      <c r="OA75" s="79"/>
      <c r="OB75" s="79"/>
      <c r="OC75" s="79"/>
      <c r="OD75" s="79"/>
      <c r="OE75" s="79"/>
      <c r="OF75" s="79"/>
      <c r="OG75" s="79"/>
      <c r="OH75" s="79"/>
      <c r="OI75" s="79"/>
      <c r="OJ75" s="79"/>
      <c r="OK75" s="79"/>
      <c r="OL75" s="79"/>
      <c r="OM75" s="79"/>
      <c r="ON75" s="79"/>
      <c r="OO75" s="79"/>
      <c r="OP75" s="79"/>
      <c r="OQ75" s="79"/>
      <c r="OR75" s="79"/>
      <c r="OS75" s="79"/>
      <c r="OT75" s="79"/>
      <c r="OU75" s="79"/>
      <c r="OV75" s="79"/>
      <c r="OW75" s="79"/>
      <c r="OX75" s="79"/>
      <c r="OY75" s="79"/>
      <c r="OZ75" s="79"/>
      <c r="PA75" s="79"/>
      <c r="PB75" s="79"/>
      <c r="PC75" s="79"/>
      <c r="PD75" s="79"/>
      <c r="PE75" s="79"/>
      <c r="PF75" s="79"/>
      <c r="PG75" s="79"/>
      <c r="PH75" s="79"/>
      <c r="PI75" s="79"/>
      <c r="PJ75" s="79"/>
      <c r="PK75" s="79"/>
      <c r="PL75" s="79"/>
      <c r="PM75" s="79"/>
      <c r="PN75" s="79"/>
      <c r="PO75" s="79"/>
      <c r="PP75" s="79"/>
      <c r="PQ75" s="79"/>
      <c r="PR75" s="79"/>
      <c r="PS75" s="79"/>
      <c r="PT75" s="79"/>
      <c r="PU75" s="79"/>
      <c r="PV75" s="79"/>
      <c r="PW75" s="79"/>
      <c r="PX75" s="79"/>
      <c r="PY75" s="79"/>
      <c r="PZ75" s="79"/>
      <c r="QA75" s="79"/>
      <c r="QB75" s="79"/>
      <c r="QC75" s="79"/>
      <c r="QD75" s="79"/>
      <c r="QE75" s="79"/>
      <c r="QF75" s="79"/>
      <c r="QG75" s="79"/>
      <c r="QH75" s="79"/>
      <c r="QI75" s="79"/>
      <c r="QJ75" s="79"/>
      <c r="QK75" s="79"/>
      <c r="QL75" s="79"/>
      <c r="QM75" s="79"/>
      <c r="QN75" s="79"/>
      <c r="QO75" s="79"/>
      <c r="QP75" s="79"/>
      <c r="QQ75" s="79"/>
      <c r="QR75" s="79"/>
      <c r="QS75" s="79"/>
      <c r="QT75" s="79"/>
      <c r="QU75" s="79"/>
      <c r="QV75" s="79"/>
      <c r="QW75" s="79"/>
      <c r="QX75" s="79"/>
      <c r="QY75" s="79"/>
      <c r="QZ75" s="79"/>
      <c r="RA75" s="79"/>
      <c r="RB75" s="79"/>
      <c r="RC75" s="79"/>
      <c r="RD75" s="79"/>
      <c r="RE75" s="79"/>
      <c r="RF75" s="79"/>
      <c r="RG75" s="79"/>
      <c r="RH75" s="79"/>
      <c r="RI75" s="79"/>
      <c r="RJ75" s="79"/>
      <c r="RK75" s="79"/>
      <c r="RL75" s="79"/>
      <c r="RM75" s="79"/>
      <c r="RN75" s="79"/>
      <c r="RO75" s="79"/>
      <c r="RP75" s="79"/>
      <c r="RQ75" s="79"/>
      <c r="RR75" s="79"/>
      <c r="RS75" s="79"/>
      <c r="RT75" s="79"/>
      <c r="RU75" s="79"/>
      <c r="RV75" s="79"/>
      <c r="RW75" s="79"/>
      <c r="RX75" s="79"/>
      <c r="RY75" s="79"/>
      <c r="RZ75" s="79"/>
      <c r="SA75" s="79"/>
      <c r="SB75" s="79"/>
      <c r="SC75" s="79"/>
      <c r="SD75" s="79"/>
      <c r="SE75" s="79"/>
      <c r="SF75" s="79"/>
      <c r="SG75" s="79"/>
      <c r="SH75" s="79"/>
      <c r="SI75" s="79"/>
      <c r="SJ75" s="79"/>
      <c r="SK75" s="79"/>
      <c r="SL75" s="79"/>
      <c r="SM75" s="79"/>
      <c r="SN75" s="79"/>
      <c r="SO75" s="79"/>
      <c r="SP75" s="79"/>
      <c r="SQ75" s="79"/>
      <c r="SR75" s="79"/>
      <c r="SS75" s="79"/>
      <c r="ST75" s="79"/>
      <c r="SU75" s="79"/>
      <c r="SV75" s="79"/>
      <c r="SW75" s="79"/>
      <c r="SX75" s="79"/>
      <c r="SY75" s="79"/>
      <c r="SZ75" s="79"/>
      <c r="TA75" s="79"/>
      <c r="TB75" s="79"/>
      <c r="TC75" s="79"/>
      <c r="TD75" s="79"/>
      <c r="TE75" s="79"/>
      <c r="TF75" s="79"/>
      <c r="TG75" s="79"/>
      <c r="TH75" s="79"/>
      <c r="TI75" s="79"/>
      <c r="TJ75" s="79"/>
      <c r="TK75" s="79"/>
      <c r="TL75" s="79"/>
      <c r="TM75" s="79"/>
      <c r="TN75" s="79"/>
      <c r="TO75" s="79"/>
      <c r="TP75" s="79"/>
      <c r="TQ75" s="79"/>
      <c r="TR75" s="79"/>
      <c r="TS75" s="79"/>
      <c r="TT75" s="79"/>
      <c r="TU75" s="79"/>
      <c r="TV75" s="79"/>
      <c r="TW75" s="79"/>
      <c r="TX75" s="79"/>
      <c r="TY75" s="79"/>
      <c r="TZ75" s="79"/>
      <c r="UA75" s="79"/>
      <c r="UB75" s="79"/>
      <c r="UC75" s="79"/>
      <c r="UD75" s="79"/>
      <c r="UE75" s="79"/>
      <c r="UF75" s="79"/>
      <c r="UG75" s="79"/>
      <c r="UH75" s="79"/>
      <c r="UI75" s="79"/>
      <c r="UJ75" s="79"/>
      <c r="UK75" s="79"/>
      <c r="UL75" s="79"/>
      <c r="UM75" s="79"/>
      <c r="UN75" s="79"/>
      <c r="UO75" s="79"/>
      <c r="UP75" s="79"/>
      <c r="UQ75" s="79"/>
      <c r="UR75" s="79"/>
      <c r="US75" s="79"/>
      <c r="UT75" s="79"/>
      <c r="UU75" s="79"/>
      <c r="UV75" s="79"/>
      <c r="UW75" s="79"/>
      <c r="UX75" s="79"/>
      <c r="UY75" s="79"/>
      <c r="UZ75" s="79"/>
      <c r="VA75" s="79"/>
      <c r="VB75" s="79"/>
      <c r="VC75" s="79"/>
      <c r="VD75" s="79"/>
      <c r="VE75" s="79"/>
      <c r="VF75" s="79"/>
      <c r="VG75" s="79"/>
      <c r="VH75" s="79"/>
      <c r="VI75" s="79"/>
      <c r="VJ75" s="79"/>
      <c r="VK75" s="79"/>
      <c r="VL75" s="79"/>
      <c r="VM75" s="79"/>
      <c r="VN75" s="79"/>
      <c r="VO75" s="79"/>
      <c r="VP75" s="79"/>
      <c r="VQ75" s="79"/>
      <c r="VR75" s="79"/>
      <c r="VS75" s="79"/>
      <c r="VT75" s="79"/>
      <c r="VU75" s="79"/>
      <c r="VV75" s="79"/>
      <c r="VW75" s="79"/>
      <c r="VX75" s="79"/>
      <c r="VY75" s="79"/>
      <c r="VZ75" s="79"/>
      <c r="WA75" s="79"/>
      <c r="WB75" s="79"/>
      <c r="WC75" s="79"/>
      <c r="WD75" s="79"/>
      <c r="WE75" s="79"/>
      <c r="WF75" s="79"/>
      <c r="WG75" s="79"/>
      <c r="WH75" s="79"/>
      <c r="WI75" s="79"/>
      <c r="WJ75" s="79"/>
      <c r="WK75" s="79"/>
      <c r="WL75" s="79"/>
      <c r="WM75" s="79"/>
      <c r="WN75" s="79"/>
      <c r="WO75" s="79"/>
      <c r="WP75" s="79"/>
      <c r="WQ75" s="79"/>
      <c r="WR75" s="79"/>
      <c r="WS75" s="79"/>
      <c r="WT75" s="79"/>
      <c r="WU75" s="79"/>
      <c r="WV75" s="79"/>
      <c r="WW75" s="79"/>
      <c r="WX75" s="79"/>
      <c r="WY75" s="79"/>
      <c r="WZ75" s="79"/>
      <c r="XA75" s="79"/>
      <c r="XB75" s="79"/>
      <c r="XC75" s="79"/>
      <c r="XD75" s="79"/>
      <c r="XE75" s="79"/>
      <c r="XF75" s="79"/>
      <c r="XG75" s="79"/>
      <c r="XH75" s="79"/>
      <c r="XI75" s="79"/>
      <c r="XJ75" s="79"/>
      <c r="XK75" s="79"/>
      <c r="XL75" s="79"/>
      <c r="XM75" s="79"/>
      <c r="XN75" s="79"/>
      <c r="XO75" s="79"/>
      <c r="XP75" s="79"/>
      <c r="XQ75" s="79"/>
      <c r="XR75" s="79"/>
      <c r="XS75" s="79"/>
      <c r="XT75" s="79"/>
      <c r="XU75" s="79"/>
      <c r="XV75" s="79"/>
      <c r="XW75" s="79"/>
      <c r="XX75" s="79"/>
      <c r="XY75" s="79"/>
      <c r="XZ75" s="79"/>
      <c r="YA75" s="79"/>
    </row>
    <row r="76" spans="1:651">
      <c r="B76" s="206"/>
      <c r="AS76" s="385"/>
    </row>
    <row r="77" spans="1:651">
      <c r="B77" s="206"/>
    </row>
    <row r="78" spans="1:651">
      <c r="B78" s="206"/>
    </row>
  </sheetData>
  <sheetProtection algorithmName="SHA-512" hashValue="35hubP1JV2M3AVoGHTsu2cCP+yJavo8G+qfAF5LzeDvtrQFAkC5Zl2fTuc1uc++NSTBN3wbZm9h6G9ZJbiY6EA==" saltValue="nCln45ft06rhxOX1EFgtGQ==" spinCount="100000" sheet="1" objects="1" scenarios="1"/>
  <mergeCells count="12">
    <mergeCell ref="A47:C47"/>
    <mergeCell ref="A75:C75"/>
    <mergeCell ref="B25:B26"/>
    <mergeCell ref="B14:B15"/>
    <mergeCell ref="B17:B18"/>
    <mergeCell ref="B20:B23"/>
    <mergeCell ref="AG1:AJ1"/>
    <mergeCell ref="AY1:BC1"/>
    <mergeCell ref="B5:B6"/>
    <mergeCell ref="B8:B9"/>
    <mergeCell ref="B11:B12"/>
    <mergeCell ref="U1:AB1"/>
  </mergeCells>
  <phoneticPr fontId="11" type="noConversion"/>
  <hyperlinks>
    <hyperlink ref="B5" location="Overview!A1" display="Overview" xr:uid="{31A0819B-BFE0-0C4E-8F24-FCC1C8ABE356}"/>
    <hyperlink ref="B11" location="Inputs!A1" display="Inputs" xr:uid="{BEFF9441-D032-484F-B88D-BEFC7000751E}"/>
    <hyperlink ref="B14" location="Model!A1" display="Model" xr:uid="{E87682C8-08E4-5646-92EE-338D47BB4F3B}"/>
    <hyperlink ref="B17" location="Results!A1" display="Results" xr:uid="{3BDC14C5-F5F4-1C4D-8F70-20753B8A3544}"/>
    <hyperlink ref="B20" location="OWSA!A1" display="One-Way Sensitivity Analysis" xr:uid="{4F4FA5E4-F078-9746-8FB1-8214AB32E1A7}"/>
    <hyperlink ref="B8" location="Inputs!A1" display="Inputs" xr:uid="{E627EFB3-7D47-5046-AE19-2408F80A5541}"/>
    <hyperlink ref="B11:B12" location="'Model Inputs'!A1" display="Model Inputs" xr:uid="{93349033-5002-4B49-A8E0-635BF3117549}"/>
    <hyperlink ref="B5:B6" location="Overview!A1" display="Overview" xr:uid="{A22B4441-6203-594D-AF75-54FAA5FB8F69}"/>
    <hyperlink ref="B8:B9" location="Setting!A1" display="Setting" xr:uid="{660F0EE9-545B-A74E-A5D3-F8CD7FC3B743}"/>
    <hyperlink ref="B14:B15" location="'Decision tree model _ V1'!A1" display="Model" xr:uid="{F20672D2-77B1-E741-A813-30EBF1940820}"/>
    <hyperlink ref="B25" location="Overview!A1" display="Overview" xr:uid="{8842B25B-CC9C-2A40-B398-2E54D74B663F}"/>
    <hyperlink ref="B25:B26" location="Appendix!A1" display="Appendix" xr:uid="{F2BD3A55-6119-2D4F-AE73-D71B2304930A}"/>
  </hyperlinks>
  <pageMargins left="0.7" right="0.7" top="0.75" bottom="0.75" header="0.3" footer="0.3"/>
  <ignoredErrors>
    <ignoredError sqref="P6:P9 Q11 Q18 Q25 Q32 Q39 P13:P16 P20:P23 P27:P30 P34:P37 P41:P44 BE6:BH6 BE8:BH8 BE10:BH10 BE13:BH13 BE15:BH15 BE17:BH17 BE20:BH20 BE22:BH22 BE24:BH24 BE27:BH27 BE29:BH29 BE31:BH31 BE34:BH34 BE36:BH36 BE38:BH38 BE41:BH41 BE43:BH43 U6:AB6 U8:AB8 U10:AB10 AN10 U13:AB13 U15:AB15 U17:AB17 U20:AB20 U22:AB22 U24:AB24 U27:AB27 U29:AB29 U31:AB31 U34:AB34 U36:AB36 U38:AB38 U41:AB41 U43:AB4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CC8EC-80E5-9B41-BA27-29AAA7288986}">
  <sheetPr codeName="Sheet12"/>
  <dimension ref="A2:AC77"/>
  <sheetViews>
    <sheetView topLeftCell="A4" workbookViewId="0">
      <selection activeCell="O6" sqref="O6"/>
    </sheetView>
  </sheetViews>
  <sheetFormatPr defaultColWidth="10.83203125" defaultRowHeight="15.5"/>
  <cols>
    <col min="1" max="1" width="10.83203125" style="2"/>
    <col min="2" max="2" width="18.5" style="43" customWidth="1"/>
    <col min="3" max="3" width="6.83203125" style="2" customWidth="1"/>
    <col min="4" max="4" width="19.83203125" style="2" customWidth="1"/>
    <col min="5" max="5" width="11.83203125" style="2" bestFit="1" customWidth="1"/>
    <col min="6" max="6" width="12.83203125" style="2" customWidth="1"/>
    <col min="7" max="8" width="10.83203125" style="2"/>
    <col min="9" max="9" width="11.5" style="2" customWidth="1"/>
    <col min="10" max="10" width="10.83203125" style="2" customWidth="1"/>
    <col min="11" max="11" width="13.5" style="2" customWidth="1"/>
    <col min="12" max="14" width="10.83203125" style="2"/>
    <col min="15" max="15" width="21.5" style="2" customWidth="1"/>
    <col min="16" max="16" width="18" style="2" customWidth="1"/>
    <col min="17" max="17" width="16" style="2" bestFit="1" customWidth="1"/>
    <col min="18" max="19" width="15" style="2" bestFit="1" customWidth="1"/>
    <col min="20" max="20" width="17" style="2" bestFit="1" customWidth="1"/>
    <col min="21" max="16384" width="10.83203125" style="2"/>
  </cols>
  <sheetData>
    <row r="2" spans="1:29">
      <c r="D2" s="6"/>
      <c r="E2" s="6"/>
      <c r="F2" s="6"/>
    </row>
    <row r="3" spans="1:29" ht="26">
      <c r="B3" s="47"/>
      <c r="C3" s="8"/>
      <c r="D3" s="585"/>
      <c r="E3" s="585"/>
      <c r="F3" s="585"/>
      <c r="G3" s="5"/>
    </row>
    <row r="4" spans="1:29" ht="18.5">
      <c r="B4" s="586" t="s">
        <v>1</v>
      </c>
      <c r="D4" s="11" t="s">
        <v>141</v>
      </c>
    </row>
    <row r="5" spans="1:29" ht="21">
      <c r="B5" s="587"/>
      <c r="P5" s="18" t="s">
        <v>408</v>
      </c>
      <c r="Q5" s="26"/>
      <c r="V5" s="6"/>
      <c r="W5" s="6"/>
      <c r="X5" s="6"/>
      <c r="Y5" s="6"/>
      <c r="Z5" s="6"/>
      <c r="AA5" s="6"/>
      <c r="AB5" s="6"/>
    </row>
    <row r="6" spans="1:29" ht="18.5">
      <c r="B6" s="48"/>
      <c r="D6" s="11" t="s">
        <v>409</v>
      </c>
      <c r="E6" s="85" t="s">
        <v>48</v>
      </c>
      <c r="F6" s="85" t="s">
        <v>49</v>
      </c>
      <c r="G6" s="85" t="s">
        <v>50</v>
      </c>
      <c r="H6" s="85" t="s">
        <v>51</v>
      </c>
      <c r="I6" s="85" t="str">
        <f>Setting!$E$16</f>
        <v>severe pneumonia</v>
      </c>
      <c r="J6" s="85" t="str">
        <f>Setting!$E$17</f>
        <v>very severe pneumonia</v>
      </c>
      <c r="K6" s="85" t="str">
        <f>Setting!$E$18</f>
        <v>Custom 3</v>
      </c>
      <c r="L6" s="85" t="str">
        <f>Setting!$E$19</f>
        <v>Custom 4</v>
      </c>
      <c r="O6" s="11" t="s">
        <v>203</v>
      </c>
      <c r="U6" s="8"/>
      <c r="V6" s="79"/>
      <c r="W6" s="79"/>
      <c r="X6" s="79"/>
      <c r="Y6" s="79"/>
      <c r="Z6" s="79"/>
      <c r="AA6" s="79"/>
      <c r="AB6" s="79"/>
      <c r="AC6" s="5"/>
    </row>
    <row r="7" spans="1:29">
      <c r="B7" s="588" t="s">
        <v>5</v>
      </c>
      <c r="D7" s="1" t="s">
        <v>410</v>
      </c>
      <c r="E7" s="16">
        <f>SUM(pr_branch_ly_real)</f>
        <v>0</v>
      </c>
      <c r="F7" s="23">
        <f>SUM(pr_branch_qaly_real)</f>
        <v>0</v>
      </c>
      <c r="G7" s="4">
        <f>SUM(pr_branch_daly_real)</f>
        <v>0</v>
      </c>
      <c r="H7" s="4">
        <f>SUM(pr_branch_death_real)</f>
        <v>7.1141999999999993E-3</v>
      </c>
      <c r="I7" s="4">
        <f>SUM(pr_branch_custom1_real)</f>
        <v>0.18128350000000001</v>
      </c>
      <c r="J7" s="4">
        <f>SUM(pr_branch_custom2_real)</f>
        <v>7.2513399999999992E-2</v>
      </c>
      <c r="K7" s="4">
        <f>SUM(pr_branch_custom3_real)</f>
        <v>0</v>
      </c>
      <c r="L7" s="4">
        <f>SUM(pr_branch_custom4_real)</f>
        <v>0</v>
      </c>
      <c r="U7" s="8"/>
      <c r="V7" s="79"/>
      <c r="W7" s="79"/>
      <c r="X7" s="79"/>
      <c r="Y7" s="79"/>
      <c r="Z7" s="79"/>
      <c r="AA7" s="79"/>
      <c r="AB7" s="79"/>
      <c r="AC7" s="5"/>
    </row>
    <row r="8" spans="1:29" ht="18.5">
      <c r="B8" s="589"/>
      <c r="D8" s="1" t="s">
        <v>411</v>
      </c>
      <c r="E8" s="5">
        <f>SUM(pr_branch_ly_ideal)</f>
        <v>0</v>
      </c>
      <c r="F8" s="24">
        <f>SUM(pr_branch_qaly_ideal)</f>
        <v>0</v>
      </c>
      <c r="G8" s="2">
        <f>SUM(pr_branch_daly_ideal)</f>
        <v>0</v>
      </c>
      <c r="H8" s="2">
        <f>SUM(pr_branch_death_ideal)</f>
        <v>6.8999999999999999E-3</v>
      </c>
      <c r="I8" s="2">
        <f>SUM(pr_branch_custom1_ideal)</f>
        <v>0.17575000000000002</v>
      </c>
      <c r="J8" s="2">
        <f>SUM(pr_branch_custom2_ideal)</f>
        <v>7.0300000000000001E-2</v>
      </c>
      <c r="K8" s="2">
        <f>SUM(pr_branch_custom3_ideal)</f>
        <v>0</v>
      </c>
      <c r="L8" s="2">
        <f>SUM(pr_branch_custom4_ideal)</f>
        <v>0</v>
      </c>
      <c r="O8" s="11" t="s">
        <v>409</v>
      </c>
      <c r="P8" s="17" t="s">
        <v>412</v>
      </c>
      <c r="Q8" s="17" t="str">
        <f>Setting!$E$16</f>
        <v>severe pneumonia</v>
      </c>
      <c r="R8" s="17" t="str">
        <f>Setting!$E$17</f>
        <v>very severe pneumonia</v>
      </c>
      <c r="S8" s="17" t="str">
        <f>Setting!$E$18</f>
        <v>Custom 3</v>
      </c>
      <c r="T8" s="17" t="str">
        <f>Setting!$E$19</f>
        <v>Custom 4</v>
      </c>
      <c r="U8" s="8"/>
      <c r="V8" s="79"/>
      <c r="W8" s="79"/>
      <c r="X8" s="79"/>
      <c r="Y8" s="79"/>
      <c r="Z8" s="79"/>
      <c r="AA8" s="79"/>
      <c r="AB8" s="79"/>
      <c r="AC8" s="5"/>
    </row>
    <row r="9" spans="1:29">
      <c r="B9" s="50"/>
      <c r="D9" s="1" t="s">
        <v>413</v>
      </c>
      <c r="E9" s="5">
        <f>E7-E8</f>
        <v>0</v>
      </c>
      <c r="F9" s="25">
        <f>F7-F8</f>
        <v>0</v>
      </c>
      <c r="G9" s="5">
        <f t="shared" ref="G9:L9" si="0">G7-G8</f>
        <v>0</v>
      </c>
      <c r="H9" s="5">
        <f>H7-H8</f>
        <v>2.1419999999999946E-4</v>
      </c>
      <c r="I9" s="5">
        <f>I7-I8</f>
        <v>5.5334999999999968E-3</v>
      </c>
      <c r="J9" s="5">
        <f>J7-J8</f>
        <v>2.2133999999999904E-3</v>
      </c>
      <c r="K9" s="5">
        <f>K7-K8</f>
        <v>0</v>
      </c>
      <c r="L9" s="5">
        <f t="shared" si="0"/>
        <v>0</v>
      </c>
      <c r="O9" s="1" t="s">
        <v>414</v>
      </c>
      <c r="P9" s="91">
        <f>SUMPRODUCT(Model!Q4:Q46, Model!AY4:AY46)</f>
        <v>0</v>
      </c>
      <c r="Q9" s="55">
        <f>SUMPRODUCT(pr_branch_custom1_real,Model!AZ4:AZ46)</f>
        <v>8.2297016550000013</v>
      </c>
      <c r="R9" s="55">
        <f>SUMPRODUCT(pr_branch_custom2_real,Model!BA4:BA46)</f>
        <v>10.793676599999998</v>
      </c>
      <c r="S9" s="55">
        <f>SUMPRODUCT(pr_branch_custom3_real, Model!BB4:BB46)</f>
        <v>0</v>
      </c>
      <c r="T9" s="55">
        <f>SUMPRODUCT(pr_branch_custom4_real, Model!BC4:BC46)</f>
        <v>0</v>
      </c>
      <c r="U9" s="8"/>
      <c r="V9" s="79"/>
      <c r="W9" s="79"/>
      <c r="X9" s="79"/>
      <c r="Y9" s="79"/>
      <c r="Z9" s="79"/>
      <c r="AA9" s="79"/>
      <c r="AB9" s="79"/>
      <c r="AC9" s="5"/>
    </row>
    <row r="10" spans="1:29">
      <c r="B10" s="590" t="s">
        <v>415</v>
      </c>
      <c r="D10" s="4"/>
      <c r="O10" s="1" t="s">
        <v>411</v>
      </c>
      <c r="P10" s="54">
        <f>SUMPRODUCT(Model!Q50:Q74,Model!AY50:AY74)</f>
        <v>0</v>
      </c>
      <c r="Q10" s="56">
        <f>SUMPRODUCT(pr_branch_custom1_ideal, Model!AZ50:AZ74)</f>
        <v>6.7969125000000004</v>
      </c>
      <c r="R10" s="56">
        <f>SUMPRODUCT(pr_branch_custom2_ideal, Model!BA50:BA74)</f>
        <v>8.9144999999999985</v>
      </c>
      <c r="S10" s="56">
        <f>SUMPRODUCT(pr_branch_custom3_ideal, Model!BB50:BB74)</f>
        <v>0</v>
      </c>
      <c r="T10" s="56">
        <f>SUMPRODUCT(pr_branch_custom4_ideal, Model!BC50:BC74)</f>
        <v>0</v>
      </c>
      <c r="U10" s="8"/>
      <c r="V10" s="79"/>
      <c r="W10" s="79"/>
      <c r="X10" s="79"/>
      <c r="Y10" s="79"/>
      <c r="Z10" s="79"/>
      <c r="AA10" s="79"/>
      <c r="AB10" s="79"/>
      <c r="AC10" s="5"/>
    </row>
    <row r="11" spans="1:29" ht="18.5">
      <c r="B11" s="590"/>
      <c r="D11" s="19" t="s">
        <v>416</v>
      </c>
      <c r="E11" s="85" t="s">
        <v>48</v>
      </c>
      <c r="F11" s="85" t="s">
        <v>49</v>
      </c>
      <c r="G11" s="85" t="s">
        <v>50</v>
      </c>
      <c r="H11" s="85" t="s">
        <v>51</v>
      </c>
      <c r="I11" s="85" t="str">
        <f>Setting!E16</f>
        <v>severe pneumonia</v>
      </c>
      <c r="J11" s="85" t="str">
        <f>Setting!E17</f>
        <v>very severe pneumonia</v>
      </c>
      <c r="K11" s="85" t="str">
        <f>Setting!E18</f>
        <v>Custom 3</v>
      </c>
      <c r="L11" s="85" t="str">
        <f>Setting!E19</f>
        <v>Custom 4</v>
      </c>
      <c r="O11" s="1" t="s">
        <v>413</v>
      </c>
      <c r="P11" s="57">
        <f>P9-P10</f>
        <v>0</v>
      </c>
      <c r="Q11" s="57">
        <f t="shared" ref="Q11:T11" si="1">Q9-Q10</f>
        <v>1.4327891550000009</v>
      </c>
      <c r="R11" s="57">
        <f t="shared" si="1"/>
        <v>1.8791765999999992</v>
      </c>
      <c r="S11" s="57">
        <f t="shared" si="1"/>
        <v>0</v>
      </c>
      <c r="T11" s="57">
        <f t="shared" si="1"/>
        <v>0</v>
      </c>
      <c r="U11" s="8"/>
      <c r="V11" s="79"/>
      <c r="W11" s="79"/>
      <c r="X11" s="79"/>
      <c r="Y11" s="79"/>
      <c r="Z11" s="79"/>
      <c r="AA11" s="79"/>
      <c r="AB11" s="79"/>
      <c r="AC11" s="5"/>
    </row>
    <row r="12" spans="1:29">
      <c r="B12" s="50"/>
      <c r="D12" s="1" t="s">
        <v>410</v>
      </c>
      <c r="E12" s="5">
        <f>SUM(Model!AN4:AN46)</f>
        <v>0</v>
      </c>
      <c r="F12" s="5">
        <f>SUM( Model!AO4:AO46)</f>
        <v>0</v>
      </c>
      <c r="G12" s="5">
        <f>SUM( Model!AP4:AP46)</f>
        <v>0</v>
      </c>
      <c r="H12" s="5">
        <f>SUM(Model!AQ4:AQ46)</f>
        <v>7114.2</v>
      </c>
      <c r="I12" s="5">
        <f>SUM(Model!AR4:AR46)</f>
        <v>181283.50000000003</v>
      </c>
      <c r="J12" s="5">
        <f>SUM(Model!AS4:AS46)</f>
        <v>72513.399999999994</v>
      </c>
      <c r="K12" s="5">
        <f>SUM(Model!AT4:AT46)</f>
        <v>0</v>
      </c>
      <c r="L12" s="5">
        <f>SUM(Model!AU4:AU46)</f>
        <v>0</v>
      </c>
      <c r="U12" s="8"/>
      <c r="V12" s="79"/>
      <c r="W12" s="79"/>
      <c r="X12" s="79"/>
      <c r="Y12" s="79"/>
      <c r="Z12" s="79"/>
      <c r="AA12" s="79"/>
      <c r="AB12" s="79"/>
      <c r="AC12" s="5"/>
    </row>
    <row r="13" spans="1:29" ht="18.5">
      <c r="B13" s="590" t="s">
        <v>12</v>
      </c>
      <c r="D13" s="1" t="s">
        <v>411</v>
      </c>
      <c r="E13" s="5">
        <f>SUM(Model!AN50:AN74)</f>
        <v>0</v>
      </c>
      <c r="F13" s="5">
        <f>SUM(Model!AO50:AO74)</f>
        <v>0</v>
      </c>
      <c r="G13" s="5">
        <f>SUM(Model!AP50:AP74)</f>
        <v>0</v>
      </c>
      <c r="H13" s="5">
        <f>SUM(Model!AQ50:AQ74)</f>
        <v>6900</v>
      </c>
      <c r="I13" s="5">
        <f>SUM(Model!AR50:AR74)</f>
        <v>175750.00000000003</v>
      </c>
      <c r="J13" s="5">
        <f>SUM(Model!AS50:AS74)</f>
        <v>70300</v>
      </c>
      <c r="K13" s="5">
        <f>SUM(Model!AT50:AT74)</f>
        <v>0</v>
      </c>
      <c r="L13" s="5">
        <f>SUM(Model!AU50:AU74)</f>
        <v>0</v>
      </c>
      <c r="O13" s="19" t="s">
        <v>417</v>
      </c>
      <c r="P13" s="17" t="s">
        <v>412</v>
      </c>
      <c r="Q13" s="17" t="str">
        <f>Setting!$E$16</f>
        <v>severe pneumonia</v>
      </c>
      <c r="R13" s="17" t="str">
        <f>Setting!$E$17</f>
        <v>very severe pneumonia</v>
      </c>
      <c r="S13" s="17" t="str">
        <f>Setting!$E$18</f>
        <v>Custom 3</v>
      </c>
      <c r="T13" s="17" t="str">
        <f>Setting!$E$19</f>
        <v>Custom 4</v>
      </c>
      <c r="U13" s="8"/>
      <c r="V13" s="79"/>
      <c r="W13" s="79"/>
      <c r="X13" s="79"/>
      <c r="Y13" s="79"/>
      <c r="Z13" s="79"/>
      <c r="AA13" s="79"/>
      <c r="AB13" s="79"/>
      <c r="AC13" s="5"/>
    </row>
    <row r="14" spans="1:29">
      <c r="B14" s="590"/>
      <c r="D14" s="1" t="s">
        <v>413</v>
      </c>
      <c r="E14" s="5">
        <f>E12-E13</f>
        <v>0</v>
      </c>
      <c r="F14" s="5">
        <f>F12-F13</f>
        <v>0</v>
      </c>
      <c r="G14" s="5">
        <f t="shared" ref="G14:L14" si="2">G12-G13</f>
        <v>0</v>
      </c>
      <c r="H14" s="5">
        <f t="shared" si="2"/>
        <v>214.19999999999982</v>
      </c>
      <c r="I14" s="5">
        <f t="shared" si="2"/>
        <v>5533.5</v>
      </c>
      <c r="J14" s="5">
        <f t="shared" si="2"/>
        <v>2213.3999999999942</v>
      </c>
      <c r="K14" s="5">
        <f t="shared" si="2"/>
        <v>0</v>
      </c>
      <c r="L14" s="5">
        <f t="shared" si="2"/>
        <v>0</v>
      </c>
      <c r="O14" s="1" t="s">
        <v>414</v>
      </c>
      <c r="P14" s="61">
        <f>SUMPRODUCT(Model!AM4:AM46, Model!AY4:AY46)</f>
        <v>0</v>
      </c>
      <c r="Q14" s="62">
        <f>SUMPRODUCT(Model!AR4:AR46, Model!AZ4:AZ46)</f>
        <v>8229701.6549999975</v>
      </c>
      <c r="R14" s="62">
        <f>SUMPRODUCT(Model!AS4:AS46,Model!BA4:BA46)</f>
        <v>10793676.599999998</v>
      </c>
      <c r="S14" s="62">
        <f>SUMPRODUCT(Model!AT4:AT46,Model!BB4:BB46)</f>
        <v>0</v>
      </c>
      <c r="T14" s="62">
        <f>SUMPRODUCT(Model!AU4:AU46, Model!BC4:BC46)</f>
        <v>0</v>
      </c>
      <c r="U14" s="8"/>
      <c r="V14" s="79"/>
      <c r="W14" s="79"/>
      <c r="X14" s="79"/>
      <c r="Y14" s="79"/>
      <c r="Z14" s="79"/>
      <c r="AA14" s="79"/>
      <c r="AB14" s="79"/>
      <c r="AC14" s="5"/>
    </row>
    <row r="15" spans="1:29">
      <c r="B15" s="50"/>
      <c r="O15" s="1" t="s">
        <v>418</v>
      </c>
      <c r="P15" s="63">
        <f>SUMPRODUCT(Model!AM50:AM74, Model!AY50:AY74)</f>
        <v>0</v>
      </c>
      <c r="Q15" s="64">
        <f>SUMPRODUCT(Model!AR50:AR74,Model!AZ50:AZ74)</f>
        <v>6796912.5</v>
      </c>
      <c r="R15" s="64">
        <f>SUMPRODUCT(Model!AS50:AS74,Model!BA50:BA74)</f>
        <v>8914499.9999999981</v>
      </c>
      <c r="S15" s="64">
        <f>SUMPRODUCT(Model!AT50:AT74,Model!BB50:BB74)</f>
        <v>0</v>
      </c>
      <c r="T15" s="64">
        <f>SUMPRODUCT(Model!AU50:AU74,Model!BC50:BC74)</f>
        <v>0</v>
      </c>
      <c r="V15" s="4"/>
      <c r="W15" s="4"/>
      <c r="X15" s="4"/>
      <c r="Y15" s="4"/>
      <c r="Z15" s="4"/>
      <c r="AA15" s="4"/>
      <c r="AB15" s="4"/>
    </row>
    <row r="16" spans="1:29">
      <c r="A16" s="8"/>
      <c r="B16" s="591" t="s">
        <v>15</v>
      </c>
      <c r="C16" s="5"/>
      <c r="O16" s="52" t="s">
        <v>413</v>
      </c>
      <c r="P16" s="65">
        <f>P14-P15</f>
        <v>0</v>
      </c>
      <c r="Q16" s="65">
        <f t="shared" ref="Q16:T16" si="3">Q14-Q15</f>
        <v>1432789.1549999975</v>
      </c>
      <c r="R16" s="65">
        <f t="shared" si="3"/>
        <v>1879176.5999999996</v>
      </c>
      <c r="S16" s="65">
        <f t="shared" si="3"/>
        <v>0</v>
      </c>
      <c r="T16" s="65">
        <f t="shared" si="3"/>
        <v>0</v>
      </c>
    </row>
    <row r="17" spans="1:19" ht="18.5">
      <c r="A17" s="8"/>
      <c r="B17" s="591"/>
      <c r="C17" s="5"/>
      <c r="O17" s="53" t="s">
        <v>419</v>
      </c>
      <c r="P17" s="66">
        <f>SUM(P16:T16)</f>
        <v>3311965.7549999971</v>
      </c>
      <c r="Q17" s="5"/>
    </row>
    <row r="18" spans="1:19">
      <c r="B18" s="44"/>
      <c r="D18" s="84" t="s">
        <v>420</v>
      </c>
      <c r="N18" s="8"/>
    </row>
    <row r="19" spans="1:19" ht="18" customHeight="1">
      <c r="B19" s="583" t="s">
        <v>18</v>
      </c>
      <c r="D19" s="4"/>
      <c r="E19" s="85" t="s">
        <v>48</v>
      </c>
      <c r="F19" s="85" t="s">
        <v>49</v>
      </c>
      <c r="G19" s="85" t="s">
        <v>50</v>
      </c>
      <c r="H19" s="85" t="s">
        <v>51</v>
      </c>
      <c r="I19" s="85" t="str">
        <f>Setting!$E$16</f>
        <v>severe pneumonia</v>
      </c>
      <c r="J19" s="85" t="str">
        <f>Setting!$E$17</f>
        <v>very severe pneumonia</v>
      </c>
      <c r="K19" s="85" t="str">
        <f>Setting!$E$18</f>
        <v>Custom 3</v>
      </c>
      <c r="L19" s="85" t="str">
        <f>Setting!$E$19</f>
        <v>Custom 4</v>
      </c>
      <c r="N19" s="8"/>
      <c r="P19" s="18" t="s">
        <v>421</v>
      </c>
    </row>
    <row r="20" spans="1:19" ht="18.5">
      <c r="B20" s="584"/>
      <c r="D20" s="21" t="s">
        <v>422</v>
      </c>
      <c r="E20" s="1">
        <f>SUMPRODUCT(Model!AN4:AN46,Model!$AW$4:$AW$46)*ly_ad</f>
        <v>0</v>
      </c>
      <c r="F20" s="1">
        <f>SUMPRODUCT(Model!AO4:AO46,Model!$AW$4:$AW$46)*qaly_ad</f>
        <v>0</v>
      </c>
      <c r="G20" s="1">
        <f>SUMPRODUCT(Model!AP4:AP46,Model!$AW$4:$AW$46)*daly_ad</f>
        <v>0</v>
      </c>
      <c r="H20" s="1">
        <f>SUMPRODUCT(Model!AQ4:AQ46,Model!$AW$4:$AW$46)*death_ad</f>
        <v>0</v>
      </c>
      <c r="I20" s="1">
        <f>SUMPRODUCT(Model!AR4:AR46,Model!$AW$4:$AW$46)*custom1_ad</f>
        <v>0</v>
      </c>
      <c r="J20" s="1">
        <f>SUMPRODUCT(Model!AS4:AS46,Model!$AW$4:$AW$46)*custom2_ad</f>
        <v>0</v>
      </c>
      <c r="K20" s="1">
        <f>SUMPRODUCT(Model!AT4:AT46,Model!$AW$4:$AW$46)*custom3_ad</f>
        <v>0</v>
      </c>
      <c r="L20" s="1">
        <f>SUMPRODUCT(Model!AU4:AU46,Model!$AW$4:$AW$46)*custom4_ad</f>
        <v>0</v>
      </c>
      <c r="O20" s="19" t="s">
        <v>417</v>
      </c>
      <c r="P20" s="17" t="str">
        <f>Setting!$E$16</f>
        <v>severe pneumonia</v>
      </c>
      <c r="Q20" s="17" t="str">
        <f>Setting!$E$17</f>
        <v>very severe pneumonia</v>
      </c>
      <c r="R20" s="17" t="str">
        <f>Setting!$E$18</f>
        <v>Custom 3</v>
      </c>
      <c r="S20" s="17" t="str">
        <f>Setting!$E$19</f>
        <v>Custom 4</v>
      </c>
    </row>
    <row r="21" spans="1:19">
      <c r="B21" s="46"/>
      <c r="E21" s="4"/>
      <c r="F21" s="4"/>
      <c r="G21" s="4"/>
      <c r="H21" s="4"/>
      <c r="I21" s="4"/>
      <c r="J21" s="4"/>
      <c r="K21" s="4"/>
      <c r="L21" s="4"/>
      <c r="N21" s="8"/>
      <c r="O21" s="1" t="s">
        <v>414</v>
      </c>
      <c r="P21" s="59">
        <f>SUMPRODUCT(Model!AR4:AR46,Model!BE4:BE46)</f>
        <v>6729243.5200000005</v>
      </c>
      <c r="Q21" s="59">
        <f>SUMPRODUCT(Model!AS4:AS46, Model!BF4:BF46)</f>
        <v>3869315.0239999993</v>
      </c>
      <c r="R21" s="59">
        <f>SUMPRODUCT(Model!AT4:AT46,Model!BG4:BG46)</f>
        <v>0</v>
      </c>
      <c r="S21" s="59">
        <f>SUMPRODUCT(Model!AU4:AU46, Model!BH4:BH46)</f>
        <v>0</v>
      </c>
    </row>
    <row r="22" spans="1:19" ht="18.5">
      <c r="B22" s="46"/>
      <c r="D22" s="86" t="s">
        <v>416</v>
      </c>
      <c r="E22" s="90" t="s">
        <v>48</v>
      </c>
      <c r="F22" s="90" t="s">
        <v>49</v>
      </c>
      <c r="G22" s="90" t="s">
        <v>50</v>
      </c>
      <c r="H22" s="90" t="s">
        <v>51</v>
      </c>
      <c r="I22" s="90" t="str">
        <f>Setting!$E$16</f>
        <v>severe pneumonia</v>
      </c>
      <c r="J22" s="90" t="str">
        <f>Setting!$E$17</f>
        <v>very severe pneumonia</v>
      </c>
      <c r="K22" s="90" t="str">
        <f>Setting!$E$18</f>
        <v>Custom 3</v>
      </c>
      <c r="L22" s="90" t="str">
        <f>Setting!$E$19</f>
        <v>Custom 4</v>
      </c>
      <c r="O22" s="1" t="s">
        <v>418</v>
      </c>
      <c r="P22" s="60">
        <f>SUMPRODUCT(Model!AR50:AR74,Model!BE50:BE74)</f>
        <v>6523840.0000000009</v>
      </c>
      <c r="Q22" s="60">
        <f>SUMPRODUCT(Model!AS50:AS74, Model!BF50:BF74)</f>
        <v>3751207.9999999995</v>
      </c>
      <c r="R22" s="60">
        <f>SUMPRODUCT(Model!AT50:AT74,Model!BG50:BG74)</f>
        <v>0</v>
      </c>
      <c r="S22" s="60">
        <f>SUMPRODUCT(Model!AU50:AU74, Model!BH50:BH74)</f>
        <v>0</v>
      </c>
    </row>
    <row r="23" spans="1:19">
      <c r="B23" s="46"/>
      <c r="D23" s="87" t="s">
        <v>410</v>
      </c>
      <c r="E23" s="88">
        <f>E12-E20</f>
        <v>0</v>
      </c>
      <c r="F23" s="89">
        <f>F12-F20</f>
        <v>0</v>
      </c>
      <c r="G23" s="89">
        <f t="shared" ref="G23:L23" si="4">G12+G20</f>
        <v>0</v>
      </c>
      <c r="H23" s="89">
        <f t="shared" si="4"/>
        <v>7114.2</v>
      </c>
      <c r="I23" s="89">
        <f t="shared" si="4"/>
        <v>181283.50000000003</v>
      </c>
      <c r="J23" s="89">
        <f t="shared" si="4"/>
        <v>72513.399999999994</v>
      </c>
      <c r="K23" s="89">
        <f t="shared" si="4"/>
        <v>0</v>
      </c>
      <c r="L23" s="89">
        <f t="shared" si="4"/>
        <v>0</v>
      </c>
      <c r="O23" s="1" t="s">
        <v>413</v>
      </c>
      <c r="P23" s="58">
        <f>P21-P22</f>
        <v>205403.51999999955</v>
      </c>
      <c r="Q23" s="58">
        <f>Q21-Q22</f>
        <v>118107.02399999974</v>
      </c>
      <c r="R23" s="58">
        <f>R21-R22</f>
        <v>0</v>
      </c>
      <c r="S23" s="58">
        <f>S21-S22</f>
        <v>0</v>
      </c>
    </row>
    <row r="24" spans="1:19">
      <c r="B24" s="49"/>
      <c r="D24" s="87" t="s">
        <v>411</v>
      </c>
      <c r="E24" s="88">
        <f t="shared" ref="E24:L24" si="5">E13</f>
        <v>0</v>
      </c>
      <c r="F24" s="89">
        <f t="shared" si="5"/>
        <v>0</v>
      </c>
      <c r="G24" s="89">
        <f t="shared" si="5"/>
        <v>0</v>
      </c>
      <c r="H24" s="89">
        <f t="shared" si="5"/>
        <v>6900</v>
      </c>
      <c r="I24" s="89">
        <f t="shared" si="5"/>
        <v>175750.00000000003</v>
      </c>
      <c r="J24" s="89">
        <f t="shared" si="5"/>
        <v>70300</v>
      </c>
      <c r="K24" s="89">
        <f t="shared" si="5"/>
        <v>0</v>
      </c>
      <c r="L24" s="89">
        <f t="shared" si="5"/>
        <v>0</v>
      </c>
      <c r="O24" s="20" t="s">
        <v>419</v>
      </c>
      <c r="P24" s="56"/>
    </row>
    <row r="25" spans="1:19">
      <c r="B25" s="49"/>
      <c r="D25" s="87" t="s">
        <v>413</v>
      </c>
      <c r="E25" s="88">
        <f>E23-E24</f>
        <v>0</v>
      </c>
      <c r="F25" s="88">
        <f t="shared" ref="F25:L25" si="6">F23-F24</f>
        <v>0</v>
      </c>
      <c r="G25" s="88">
        <f t="shared" si="6"/>
        <v>0</v>
      </c>
      <c r="H25" s="88">
        <f t="shared" si="6"/>
        <v>214.19999999999982</v>
      </c>
      <c r="I25" s="88">
        <f t="shared" si="6"/>
        <v>5533.5</v>
      </c>
      <c r="J25" s="88">
        <f t="shared" si="6"/>
        <v>2213.3999999999942</v>
      </c>
      <c r="K25" s="88">
        <f t="shared" si="6"/>
        <v>0</v>
      </c>
      <c r="L25" s="88">
        <f t="shared" si="6"/>
        <v>0</v>
      </c>
    </row>
    <row r="26" spans="1:19">
      <c r="B26" s="49"/>
    </row>
    <row r="27" spans="1:19">
      <c r="B27" s="49"/>
    </row>
    <row r="28" spans="1:19">
      <c r="B28" s="49"/>
    </row>
    <row r="29" spans="1:19">
      <c r="B29" s="49"/>
    </row>
    <row r="30" spans="1:19">
      <c r="B30" s="49"/>
    </row>
    <row r="31" spans="1:19">
      <c r="B31" s="49"/>
    </row>
    <row r="32" spans="1:19">
      <c r="B32" s="49"/>
    </row>
    <row r="33" spans="2:2">
      <c r="B33" s="49"/>
    </row>
    <row r="34" spans="2:2">
      <c r="B34" s="45"/>
    </row>
    <row r="35" spans="2:2">
      <c r="B35" s="45"/>
    </row>
    <row r="36" spans="2:2">
      <c r="B36" s="45"/>
    </row>
    <row r="37" spans="2:2">
      <c r="B37" s="45"/>
    </row>
    <row r="38" spans="2:2">
      <c r="B38" s="45"/>
    </row>
    <row r="51" spans="2:2">
      <c r="B51" s="45"/>
    </row>
    <row r="52" spans="2:2">
      <c r="B52" s="45"/>
    </row>
    <row r="53" spans="2:2">
      <c r="B53" s="45"/>
    </row>
    <row r="54" spans="2:2">
      <c r="B54" s="45"/>
    </row>
    <row r="55" spans="2:2">
      <c r="B55" s="45"/>
    </row>
    <row r="56" spans="2:2">
      <c r="B56" s="45"/>
    </row>
    <row r="57" spans="2:2">
      <c r="B57" s="45"/>
    </row>
    <row r="58" spans="2:2">
      <c r="B58" s="45"/>
    </row>
    <row r="59" spans="2:2">
      <c r="B59" s="45"/>
    </row>
    <row r="60" spans="2:2">
      <c r="B60" s="45"/>
    </row>
    <row r="61" spans="2:2">
      <c r="B61" s="45"/>
    </row>
    <row r="62" spans="2:2">
      <c r="B62" s="45"/>
    </row>
    <row r="63" spans="2:2">
      <c r="B63" s="45"/>
    </row>
    <row r="64" spans="2:2">
      <c r="B64" s="45"/>
    </row>
    <row r="65" spans="2:2">
      <c r="B65" s="45"/>
    </row>
    <row r="66" spans="2:2">
      <c r="B66" s="45"/>
    </row>
    <row r="67" spans="2:2">
      <c r="B67" s="45"/>
    </row>
    <row r="68" spans="2:2">
      <c r="B68" s="45"/>
    </row>
    <row r="69" spans="2:2">
      <c r="B69" s="45"/>
    </row>
    <row r="70" spans="2:2">
      <c r="B70" s="45"/>
    </row>
    <row r="71" spans="2:2">
      <c r="B71" s="45"/>
    </row>
    <row r="72" spans="2:2">
      <c r="B72" s="45"/>
    </row>
    <row r="73" spans="2:2">
      <c r="B73" s="45"/>
    </row>
    <row r="74" spans="2:2">
      <c r="B74" s="45"/>
    </row>
    <row r="75" spans="2:2">
      <c r="B75" s="45"/>
    </row>
    <row r="76" spans="2:2">
      <c r="B76" s="45"/>
    </row>
    <row r="77" spans="2:2">
      <c r="B77" s="45"/>
    </row>
  </sheetData>
  <mergeCells count="7">
    <mergeCell ref="B19:B20"/>
    <mergeCell ref="D3:F3"/>
    <mergeCell ref="B4:B5"/>
    <mergeCell ref="B7:B8"/>
    <mergeCell ref="B10:B11"/>
    <mergeCell ref="B13:B14"/>
    <mergeCell ref="B16:B17"/>
  </mergeCells>
  <hyperlinks>
    <hyperlink ref="B4" location="Overview!A1" display="Overview" xr:uid="{44B7BDF5-B421-0040-94BC-277CDA7DC985}"/>
    <hyperlink ref="B10" location="Inputs!A1" display="Inputs" xr:uid="{E625739B-DC27-0242-A10F-5CB58FFDEF03}"/>
    <hyperlink ref="B13" location="Model!A1" display="Model" xr:uid="{04735225-624E-2349-B9B9-0DEE3949BA41}"/>
    <hyperlink ref="B16" location="Results!A1" display="Results" xr:uid="{834091EF-4B4C-104F-BAE2-4F275880292F}"/>
    <hyperlink ref="B19" location="OWSA!A1" display="One-Way Sensitivity Analysis" xr:uid="{1382FB97-B2C7-6042-AC88-1BAEACDEE21A}"/>
    <hyperlink ref="B7" location="Inputs!A1" display="Inputs" xr:uid="{B788ADC6-3515-3C41-8C8C-8BE9551162C3}"/>
    <hyperlink ref="B4:B5" location="Instructions!A1" display="Overview" xr:uid="{0F23F9D4-CA02-4149-B0F5-49FF3C678FCD}"/>
    <hyperlink ref="B10:B11" location="Variables!A1" display="Detailed Inputs" xr:uid="{9202EF42-F58F-B948-AA8F-9DF552EEB157}"/>
    <hyperlink ref="B7:B8" location="'Dashboard_ Oxytocin'!A1" display="Setting" xr:uid="{7AEF074F-8D91-7240-9741-3399366F2B77}"/>
    <hyperlink ref="B13:B14" location="'Decision tree model _ V1'!A1" display="Model" xr:uid="{645250FB-D589-8340-9AF3-BBE6EBE538B9}"/>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1061A-5BA3-4320-9EB1-9D226F4E4CBA}">
  <sheetPr codeName="Sheet4"/>
  <dimension ref="B2:N85"/>
  <sheetViews>
    <sheetView workbookViewId="0">
      <selection activeCell="C19" sqref="C19"/>
    </sheetView>
  </sheetViews>
  <sheetFormatPr defaultRowHeight="15.5"/>
  <cols>
    <col min="1" max="1" width="4" customWidth="1"/>
    <col min="2" max="2" width="41.33203125" customWidth="1"/>
    <col min="3" max="3" width="19.33203125" customWidth="1"/>
    <col min="4" max="4" width="11.1640625" customWidth="1"/>
    <col min="7" max="7" width="12.6640625" customWidth="1"/>
    <col min="8" max="8" width="12.58203125" customWidth="1"/>
    <col min="9" max="9" width="14.08203125" customWidth="1"/>
    <col min="10" max="10" width="11.6640625" customWidth="1"/>
    <col min="11" max="11" width="17.5" customWidth="1"/>
    <col min="12" max="12" width="12.1640625" customWidth="1"/>
    <col min="13" max="13" width="15.6640625" bestFit="1" customWidth="1"/>
    <col min="14" max="14" width="18.9140625" customWidth="1"/>
    <col min="15" max="15" width="21.08203125" customWidth="1"/>
  </cols>
  <sheetData>
    <row r="2" spans="2:14" ht="46.5">
      <c r="F2" s="490" t="s">
        <v>681</v>
      </c>
      <c r="G2" s="491" t="s">
        <v>692</v>
      </c>
      <c r="H2" s="472" t="s">
        <v>675</v>
      </c>
      <c r="I2" s="472" t="s">
        <v>676</v>
      </c>
      <c r="J2" s="472" t="s">
        <v>677</v>
      </c>
      <c r="K2" s="472" t="s">
        <v>677</v>
      </c>
    </row>
    <row r="3" spans="2:14" ht="16" thickBot="1">
      <c r="F3" s="495">
        <v>1</v>
      </c>
      <c r="G3" s="492">
        <f>1/(1+$D$13)^F3</f>
        <v>0.970873786407767</v>
      </c>
      <c r="H3">
        <f>G3*$D$5*$D$12</f>
        <v>15133215.728155339</v>
      </c>
      <c r="I3">
        <f>G3*$D$6*$D$12</f>
        <v>14677572.815533981</v>
      </c>
      <c r="J3">
        <f>H3-I3</f>
        <v>455642.91262135841</v>
      </c>
      <c r="K3" s="474">
        <f>G3*$D$7*$D$12</f>
        <v>455642.91262135882</v>
      </c>
    </row>
    <row r="4" spans="2:14">
      <c r="B4" s="476"/>
      <c r="C4" s="477" t="s">
        <v>709</v>
      </c>
      <c r="D4" s="478"/>
      <c r="F4" s="1">
        <v>2</v>
      </c>
      <c r="G4" s="492">
        <f t="shared" ref="G4:G67" si="0">1/(1+$D$13)^F4</f>
        <v>0.94259590913375435</v>
      </c>
      <c r="H4">
        <f t="shared" ref="H4:H67" si="1">G4*$D$5*$D$12</f>
        <v>14692442.454519747</v>
      </c>
      <c r="I4">
        <f t="shared" ref="I4:I67" si="2">G4*$D$6*$D$12</f>
        <v>14250070.694693185</v>
      </c>
      <c r="J4">
        <f t="shared" ref="J4:J67" si="3">H4-I4</f>
        <v>442371.75982656144</v>
      </c>
      <c r="K4" s="474">
        <f t="shared" ref="K4:K67" si="4">G4*$D$7*$D$12</f>
        <v>442371.75982656196</v>
      </c>
    </row>
    <row r="5" spans="2:14">
      <c r="B5" s="479"/>
      <c r="C5" s="475" t="s">
        <v>682</v>
      </c>
      <c r="D5" s="480">
        <f>Results!H7</f>
        <v>7114.2</v>
      </c>
      <c r="F5" s="1">
        <v>3</v>
      </c>
      <c r="G5" s="492">
        <f t="shared" si="0"/>
        <v>0.91514165935315961</v>
      </c>
      <c r="H5">
        <f t="shared" si="1"/>
        <v>14264507.237397812</v>
      </c>
      <c r="I5">
        <f t="shared" si="2"/>
        <v>13835020.091935132</v>
      </c>
      <c r="J5">
        <f t="shared" si="3"/>
        <v>429487.14546268061</v>
      </c>
      <c r="K5" s="474">
        <f t="shared" si="4"/>
        <v>429487.14546268154</v>
      </c>
    </row>
    <row r="6" spans="2:14">
      <c r="B6" s="479"/>
      <c r="C6" s="475" t="s">
        <v>683</v>
      </c>
      <c r="D6" s="480">
        <f>Results!H8</f>
        <v>6900</v>
      </c>
      <c r="F6" s="1">
        <v>4</v>
      </c>
      <c r="G6" s="492">
        <f t="shared" si="0"/>
        <v>0.888487047915689</v>
      </c>
      <c r="H6">
        <f t="shared" si="1"/>
        <v>13849036.152813412</v>
      </c>
      <c r="I6">
        <f t="shared" si="2"/>
        <v>13432058.341684595</v>
      </c>
      <c r="J6">
        <f t="shared" si="3"/>
        <v>416977.8111288175</v>
      </c>
      <c r="K6" s="474">
        <f t="shared" si="4"/>
        <v>416977.81112881709</v>
      </c>
      <c r="N6" s="486" t="s">
        <v>674</v>
      </c>
    </row>
    <row r="7" spans="2:14">
      <c r="B7" s="479"/>
      <c r="C7" s="475" t="s">
        <v>684</v>
      </c>
      <c r="D7" s="480">
        <f>Results!H9</f>
        <v>214.19999999999982</v>
      </c>
      <c r="F7" s="1">
        <v>5</v>
      </c>
      <c r="G7" s="492">
        <f t="shared" si="0"/>
        <v>0.86260878438416411</v>
      </c>
      <c r="H7">
        <f t="shared" si="1"/>
        <v>13445666.167780012</v>
      </c>
      <c r="I7">
        <f t="shared" si="2"/>
        <v>13040833.341441354</v>
      </c>
      <c r="J7">
        <f t="shared" si="3"/>
        <v>404832.82633865811</v>
      </c>
      <c r="K7" s="474">
        <f t="shared" si="4"/>
        <v>404832.82633865735</v>
      </c>
      <c r="M7" s="475" t="s">
        <v>680</v>
      </c>
      <c r="N7" s="473">
        <f>SUM(H3:H71)</f>
        <v>451984324.86290288</v>
      </c>
    </row>
    <row r="8" spans="2:14">
      <c r="B8" s="479"/>
      <c r="C8" s="475" t="s">
        <v>667</v>
      </c>
      <c r="D8" s="481">
        <v>2.5</v>
      </c>
      <c r="F8" s="1">
        <v>6</v>
      </c>
      <c r="G8" s="492">
        <f t="shared" si="0"/>
        <v>0.83748425668365445</v>
      </c>
      <c r="H8">
        <f t="shared" si="1"/>
        <v>13054044.823087391</v>
      </c>
      <c r="I8">
        <f t="shared" si="2"/>
        <v>12661003.244117819</v>
      </c>
      <c r="J8">
        <f t="shared" si="3"/>
        <v>393041.57896957174</v>
      </c>
      <c r="K8" s="474">
        <f t="shared" si="4"/>
        <v>393041.57896957023</v>
      </c>
      <c r="M8" s="475" t="s">
        <v>679</v>
      </c>
      <c r="N8" s="473">
        <f>SUM(I3:I71)</f>
        <v>438375620.80824673</v>
      </c>
    </row>
    <row r="9" spans="2:14">
      <c r="B9" s="479"/>
      <c r="C9" s="475" t="s">
        <v>668</v>
      </c>
      <c r="D9" s="481">
        <f>'Model Inputs'!H225</f>
        <v>64.489999999999995</v>
      </c>
      <c r="F9" s="1">
        <v>7</v>
      </c>
      <c r="G9" s="492">
        <f t="shared" si="0"/>
        <v>0.81309151134335378</v>
      </c>
      <c r="H9">
        <f t="shared" si="1"/>
        <v>12673829.925327562</v>
      </c>
      <c r="I9">
        <f t="shared" si="2"/>
        <v>12292236.159337688</v>
      </c>
      <c r="J9">
        <f t="shared" si="3"/>
        <v>381593.76598987356</v>
      </c>
      <c r="K9" s="474">
        <f t="shared" si="4"/>
        <v>381593.76598987397</v>
      </c>
      <c r="M9" s="475" t="s">
        <v>678</v>
      </c>
      <c r="N9" s="473">
        <f>SUM(K3:K71)</f>
        <v>13608704.054656008</v>
      </c>
    </row>
    <row r="10" spans="2:14">
      <c r="B10" s="479"/>
      <c r="C10" s="475" t="s">
        <v>670</v>
      </c>
      <c r="D10" s="487">
        <f>'Model Inputs'!H226</f>
        <v>2296</v>
      </c>
      <c r="F10" s="1">
        <v>8</v>
      </c>
      <c r="G10" s="492">
        <f t="shared" si="0"/>
        <v>0.78940923431393573</v>
      </c>
      <c r="H10">
        <f t="shared" si="1"/>
        <v>12304689.247890837</v>
      </c>
      <c r="I10">
        <f t="shared" si="2"/>
        <v>11934209.86343465</v>
      </c>
      <c r="J10">
        <f t="shared" si="3"/>
        <v>370479.38445618749</v>
      </c>
      <c r="K10" s="474">
        <f t="shared" si="4"/>
        <v>370479.38445618836</v>
      </c>
      <c r="N10" s="488">
        <f>N7-N8</f>
        <v>13608704.054656148</v>
      </c>
    </row>
    <row r="11" spans="2:14">
      <c r="B11" s="479"/>
      <c r="C11" s="483" t="s">
        <v>671</v>
      </c>
      <c r="D11" s="481">
        <f>'Model Inputs'!H227</f>
        <v>105</v>
      </c>
      <c r="F11" s="1">
        <v>9</v>
      </c>
      <c r="G11" s="492">
        <f t="shared" si="0"/>
        <v>0.76641673234362695</v>
      </c>
      <c r="H11">
        <f t="shared" si="1"/>
        <v>11946300.240670716</v>
      </c>
      <c r="I11">
        <f t="shared" si="2"/>
        <v>11586611.517897718</v>
      </c>
      <c r="J11">
        <f t="shared" si="3"/>
        <v>359688.72277299874</v>
      </c>
      <c r="K11" s="474">
        <f t="shared" si="4"/>
        <v>359688.72277299844</v>
      </c>
    </row>
    <row r="12" spans="2:14">
      <c r="B12" s="479"/>
      <c r="C12" s="483" t="s">
        <v>685</v>
      </c>
      <c r="D12" s="487">
        <f>$D$10-$D$11</f>
        <v>2191</v>
      </c>
      <c r="F12" s="1">
        <v>10</v>
      </c>
      <c r="G12" s="492">
        <f t="shared" si="0"/>
        <v>0.74409391489672516</v>
      </c>
      <c r="H12">
        <f t="shared" si="1"/>
        <v>11598349.748223996</v>
      </c>
      <c r="I12">
        <f t="shared" si="2"/>
        <v>11249137.396017201</v>
      </c>
      <c r="J12">
        <f t="shared" si="3"/>
        <v>349212.35220679455</v>
      </c>
      <c r="K12" s="474">
        <f t="shared" si="4"/>
        <v>349212.3522067946</v>
      </c>
    </row>
    <row r="13" spans="2:14">
      <c r="B13" s="479"/>
      <c r="C13" s="475" t="s">
        <v>686</v>
      </c>
      <c r="D13" s="485">
        <f>'Model Inputs'!H229</f>
        <v>0.03</v>
      </c>
      <c r="F13" s="1">
        <v>11</v>
      </c>
      <c r="G13" s="492">
        <f t="shared" si="0"/>
        <v>0.72242127659876232</v>
      </c>
      <c r="H13">
        <f t="shared" si="1"/>
        <v>11260533.736139802</v>
      </c>
      <c r="I13">
        <f t="shared" si="2"/>
        <v>10921492.61749243</v>
      </c>
      <c r="J13">
        <f t="shared" si="3"/>
        <v>339041.11864737235</v>
      </c>
      <c r="K13" s="474">
        <f t="shared" si="4"/>
        <v>339041.1186473734</v>
      </c>
    </row>
    <row r="14" spans="2:14">
      <c r="B14" s="479"/>
      <c r="C14" s="475" t="s">
        <v>672</v>
      </c>
      <c r="D14" s="481">
        <f>'Model Inputs'!H228</f>
        <v>15</v>
      </c>
      <c r="F14" s="1">
        <v>12</v>
      </c>
      <c r="G14" s="492">
        <f t="shared" si="0"/>
        <v>0.70137988019297326</v>
      </c>
      <c r="H14">
        <f t="shared" si="1"/>
        <v>10932557.025378451</v>
      </c>
      <c r="I14">
        <f t="shared" si="2"/>
        <v>10603390.890769351</v>
      </c>
      <c r="J14">
        <f t="shared" si="3"/>
        <v>329166.13460909948</v>
      </c>
      <c r="K14" s="474">
        <f t="shared" si="4"/>
        <v>329166.13460910041</v>
      </c>
    </row>
    <row r="15" spans="2:14">
      <c r="B15" s="479"/>
      <c r="C15" s="475" t="s">
        <v>673</v>
      </c>
      <c r="D15" s="481">
        <f>D9-D8-(D14-1)</f>
        <v>47.989999999999995</v>
      </c>
      <c r="F15" s="1">
        <v>13</v>
      </c>
      <c r="G15" s="492">
        <f t="shared" si="0"/>
        <v>0.68095133999317792</v>
      </c>
      <c r="H15">
        <f t="shared" si="1"/>
        <v>10614133.034348009</v>
      </c>
      <c r="I15">
        <f t="shared" si="2"/>
        <v>10294554.262882864</v>
      </c>
      <c r="J15">
        <f t="shared" si="3"/>
        <v>319578.77146514505</v>
      </c>
      <c r="K15" s="474">
        <f t="shared" si="4"/>
        <v>319578.77146514604</v>
      </c>
    </row>
    <row r="16" spans="2:14" ht="16" thickBot="1">
      <c r="B16" s="482"/>
      <c r="C16" s="493" t="s">
        <v>687</v>
      </c>
      <c r="D16" s="517">
        <f>SUM(G3:INDEX(G3:G80,ROUND(D15,0)))</f>
        <v>25.266706635035018</v>
      </c>
      <c r="E16" s="474"/>
      <c r="F16" s="1">
        <v>14</v>
      </c>
      <c r="G16" s="492">
        <f t="shared" si="0"/>
        <v>0.66111780581861923</v>
      </c>
      <c r="H16">
        <f t="shared" si="1"/>
        <v>10304983.528493213</v>
      </c>
      <c r="I16">
        <f t="shared" si="2"/>
        <v>9994712.8765853047</v>
      </c>
      <c r="J16">
        <f t="shared" si="3"/>
        <v>310270.6519079078</v>
      </c>
      <c r="K16" s="474">
        <f t="shared" si="4"/>
        <v>310270.65190790867</v>
      </c>
    </row>
    <row r="17" spans="2:11">
      <c r="C17" s="475"/>
      <c r="D17" s="502"/>
      <c r="F17" s="1">
        <v>15</v>
      </c>
      <c r="G17" s="492">
        <f t="shared" si="0"/>
        <v>0.64186194739671765</v>
      </c>
      <c r="H17">
        <f t="shared" si="1"/>
        <v>10004838.377177875</v>
      </c>
      <c r="I17">
        <f t="shared" si="2"/>
        <v>9703604.7345488369</v>
      </c>
      <c r="J17">
        <f t="shared" si="3"/>
        <v>301233.64262903854</v>
      </c>
      <c r="K17" s="474">
        <f t="shared" si="4"/>
        <v>301233.64262903761</v>
      </c>
    </row>
    <row r="18" spans="2:11">
      <c r="F18" s="1">
        <v>16</v>
      </c>
      <c r="G18" s="492">
        <f t="shared" si="0"/>
        <v>0.62316693922011435</v>
      </c>
      <c r="H18">
        <f t="shared" si="1"/>
        <v>9713435.3176484238</v>
      </c>
      <c r="I18">
        <f t="shared" si="2"/>
        <v>9420975.4704357684</v>
      </c>
      <c r="J18">
        <f t="shared" si="3"/>
        <v>292459.84721265547</v>
      </c>
      <c r="K18" s="474">
        <f t="shared" si="4"/>
        <v>292459.84721265786</v>
      </c>
    </row>
    <row r="19" spans="2:11">
      <c r="F19" s="1">
        <v>17</v>
      </c>
      <c r="G19" s="492">
        <f t="shared" si="0"/>
        <v>0.60501644584477121</v>
      </c>
      <c r="H19">
        <f t="shared" si="1"/>
        <v>9430519.7258722577</v>
      </c>
      <c r="I19">
        <f t="shared" si="2"/>
        <v>9146578.1266366653</v>
      </c>
      <c r="J19">
        <f t="shared" si="3"/>
        <v>283941.59923559241</v>
      </c>
      <c r="K19" s="474">
        <f t="shared" si="4"/>
        <v>283941.5992355902</v>
      </c>
    </row>
    <row r="20" spans="2:11">
      <c r="F20" s="1">
        <v>18</v>
      </c>
      <c r="G20" s="492">
        <f t="shared" si="0"/>
        <v>0.5873946076162827</v>
      </c>
      <c r="H20">
        <f t="shared" si="1"/>
        <v>9155844.394050736</v>
      </c>
      <c r="I20">
        <f t="shared" si="2"/>
        <v>8880172.9384822007</v>
      </c>
      <c r="J20">
        <f t="shared" si="3"/>
        <v>275671.45556853525</v>
      </c>
      <c r="K20" s="474">
        <f t="shared" si="4"/>
        <v>275671.45556853415</v>
      </c>
    </row>
    <row r="21" spans="2:11">
      <c r="C21" s="501" t="s">
        <v>674</v>
      </c>
      <c r="D21" s="500" t="s">
        <v>693</v>
      </c>
      <c r="F21" s="1">
        <v>19</v>
      </c>
      <c r="G21" s="492">
        <f t="shared" si="0"/>
        <v>0.57028602681192497</v>
      </c>
      <c r="H21">
        <f t="shared" si="1"/>
        <v>8889169.3146123644</v>
      </c>
      <c r="I21">
        <f t="shared" si="2"/>
        <v>8621527.1247400008</v>
      </c>
      <c r="J21">
        <f t="shared" si="3"/>
        <v>267642.18987236358</v>
      </c>
      <c r="K21" s="474">
        <f t="shared" si="4"/>
        <v>267642.18987236329</v>
      </c>
    </row>
    <row r="22" spans="2:11">
      <c r="B22" s="475" t="s">
        <v>688</v>
      </c>
      <c r="C22" s="494">
        <f>$D$16*$D$12*D5</f>
        <v>393837517.91543877</v>
      </c>
      <c r="D22" s="502">
        <f>D16*D5</f>
        <v>179752.40434296613</v>
      </c>
      <c r="F22" s="1">
        <v>20</v>
      </c>
      <c r="G22" s="492">
        <f t="shared" si="0"/>
        <v>0.55367575418633497</v>
      </c>
      <c r="H22">
        <f t="shared" si="1"/>
        <v>8630261.4704974405</v>
      </c>
      <c r="I22">
        <f t="shared" si="2"/>
        <v>8370414.6842135936</v>
      </c>
      <c r="J22">
        <f t="shared" si="3"/>
        <v>259846.78628384694</v>
      </c>
      <c r="K22" s="474">
        <f t="shared" si="4"/>
        <v>259846.78628384788</v>
      </c>
    </row>
    <row r="23" spans="2:11">
      <c r="B23" s="475" t="s">
        <v>689</v>
      </c>
      <c r="C23" s="494">
        <f>$D$16*$D$12*D6</f>
        <v>381979544.23779589</v>
      </c>
      <c r="D23" s="502">
        <f>D16*D6</f>
        <v>174340.27578174163</v>
      </c>
      <c r="F23" s="1">
        <v>21</v>
      </c>
      <c r="G23" s="492">
        <f t="shared" si="0"/>
        <v>0.5375492759090631</v>
      </c>
      <c r="H23">
        <f t="shared" si="1"/>
        <v>8378894.6315509137</v>
      </c>
      <c r="I23">
        <f t="shared" si="2"/>
        <v>8126616.1982656252</v>
      </c>
      <c r="J23">
        <f t="shared" si="3"/>
        <v>252278.43328528851</v>
      </c>
      <c r="K23" s="474">
        <f t="shared" si="4"/>
        <v>252278.43328528918</v>
      </c>
    </row>
    <row r="24" spans="2:11">
      <c r="B24" s="475" t="s">
        <v>690</v>
      </c>
      <c r="C24" s="494">
        <f>$D$16*$D$12*D7</f>
        <v>11857973.677642871</v>
      </c>
      <c r="D24" s="502">
        <f>D16*D7</f>
        <v>5412.1285612244965</v>
      </c>
      <c r="F24" s="1">
        <v>22</v>
      </c>
      <c r="G24" s="492">
        <f t="shared" si="0"/>
        <v>0.52189250088258554</v>
      </c>
      <c r="H24">
        <f t="shared" si="1"/>
        <v>8134849.1568455473</v>
      </c>
      <c r="I24">
        <f t="shared" si="2"/>
        <v>7889918.6390928393</v>
      </c>
      <c r="J24">
        <f t="shared" si="3"/>
        <v>244930.51775270794</v>
      </c>
      <c r="K24" s="474">
        <f t="shared" si="4"/>
        <v>244930.51775270794</v>
      </c>
    </row>
    <row r="25" spans="2:11">
      <c r="C25" s="488"/>
      <c r="F25" s="1">
        <v>23</v>
      </c>
      <c r="G25" s="492">
        <f t="shared" si="0"/>
        <v>0.50669174842969467</v>
      </c>
      <c r="H25">
        <f t="shared" si="1"/>
        <v>7897911.8027626676</v>
      </c>
      <c r="I25">
        <f t="shared" si="2"/>
        <v>7660115.1835852815</v>
      </c>
      <c r="J25">
        <f t="shared" si="3"/>
        <v>237796.61917738616</v>
      </c>
      <c r="K25" s="474">
        <f t="shared" si="4"/>
        <v>237796.61917738634</v>
      </c>
    </row>
    <row r="26" spans="2:11">
      <c r="F26" s="1">
        <v>24</v>
      </c>
      <c r="G26" s="492">
        <f t="shared" si="0"/>
        <v>0.49193373633950943</v>
      </c>
      <c r="H26">
        <f t="shared" si="1"/>
        <v>7667875.5366627844</v>
      </c>
      <c r="I26">
        <f t="shared" si="2"/>
        <v>7437005.0326070692</v>
      </c>
      <c r="J26">
        <f t="shared" si="3"/>
        <v>230870.50405571517</v>
      </c>
      <c r="K26" s="474">
        <f t="shared" si="4"/>
        <v>230870.5040557149</v>
      </c>
    </row>
    <row r="27" spans="2:11">
      <c r="F27" s="1">
        <v>25</v>
      </c>
      <c r="G27" s="492">
        <f t="shared" si="0"/>
        <v>0.47760556926165965</v>
      </c>
      <c r="H27">
        <f t="shared" si="1"/>
        <v>7444539.3559832862</v>
      </c>
      <c r="I27">
        <f t="shared" si="2"/>
        <v>7220393.2355408445</v>
      </c>
      <c r="J27">
        <f t="shared" si="3"/>
        <v>224146.12044244166</v>
      </c>
      <c r="K27" s="474">
        <f t="shared" si="4"/>
        <v>224146.12044244166</v>
      </c>
    </row>
    <row r="28" spans="2:11">
      <c r="F28" s="1">
        <v>26</v>
      </c>
      <c r="G28" s="492">
        <f t="shared" si="0"/>
        <v>0.46369472743850448</v>
      </c>
      <c r="H28">
        <f t="shared" si="1"/>
        <v>7227708.1126051312</v>
      </c>
      <c r="I28">
        <f t="shared" si="2"/>
        <v>7010090.5199425668</v>
      </c>
      <c r="J28">
        <f t="shared" si="3"/>
        <v>217617.59266256448</v>
      </c>
      <c r="K28" s="474">
        <f t="shared" si="4"/>
        <v>217617.59266256474</v>
      </c>
    </row>
    <row r="29" spans="2:11">
      <c r="F29" s="1">
        <v>27</v>
      </c>
      <c r="G29" s="492">
        <f t="shared" si="0"/>
        <v>0.45018905576553836</v>
      </c>
      <c r="H29">
        <f t="shared" si="1"/>
        <v>7017192.3423350798</v>
      </c>
      <c r="I29">
        <f t="shared" si="2"/>
        <v>6805913.1261578323</v>
      </c>
      <c r="J29">
        <f t="shared" si="3"/>
        <v>211279.21617724746</v>
      </c>
      <c r="K29" s="474">
        <f t="shared" si="4"/>
        <v>211279.21617724729</v>
      </c>
    </row>
    <row r="30" spans="2:11">
      <c r="F30" s="1">
        <v>28</v>
      </c>
      <c r="G30" s="492">
        <f t="shared" si="0"/>
        <v>0.4370767531704256</v>
      </c>
      <c r="H30">
        <f t="shared" si="1"/>
        <v>6812808.0993544469</v>
      </c>
      <c r="I30">
        <f t="shared" si="2"/>
        <v>6607682.6467551775</v>
      </c>
      <c r="J30">
        <f t="shared" si="3"/>
        <v>205125.45259926934</v>
      </c>
      <c r="K30" s="474">
        <f t="shared" si="4"/>
        <v>205125.45259926925</v>
      </c>
    </row>
    <row r="31" spans="2:11">
      <c r="F31" s="1">
        <v>29</v>
      </c>
      <c r="G31" s="492">
        <f t="shared" si="0"/>
        <v>0.42434636230138412</v>
      </c>
      <c r="H31">
        <f t="shared" si="1"/>
        <v>6614376.7954897545</v>
      </c>
      <c r="I31">
        <f t="shared" si="2"/>
        <v>6415225.8706360944</v>
      </c>
      <c r="J31">
        <f t="shared" si="3"/>
        <v>199150.92485366017</v>
      </c>
      <c r="K31" s="474">
        <f t="shared" si="4"/>
        <v>199150.9248536595</v>
      </c>
    </row>
    <row r="32" spans="2:11">
      <c r="F32" s="1">
        <v>30</v>
      </c>
      <c r="G32" s="492">
        <f t="shared" si="0"/>
        <v>0.41198675951590691</v>
      </c>
      <c r="H32">
        <f t="shared" si="1"/>
        <v>6421725.0441648103</v>
      </c>
      <c r="I32">
        <f t="shared" si="2"/>
        <v>6228374.6316855289</v>
      </c>
      <c r="J32">
        <f t="shared" si="3"/>
        <v>193350.41247928143</v>
      </c>
      <c r="K32" s="474">
        <f t="shared" si="4"/>
        <v>193350.41247928105</v>
      </c>
    </row>
    <row r="33" spans="6:11">
      <c r="F33" s="1">
        <v>31</v>
      </c>
      <c r="G33" s="492">
        <f t="shared" si="0"/>
        <v>0.39998714516107459</v>
      </c>
      <c r="H33">
        <f t="shared" si="1"/>
        <v>6234684.5088978726</v>
      </c>
      <c r="I33">
        <f t="shared" si="2"/>
        <v>6046965.6618306097</v>
      </c>
      <c r="J33">
        <f t="shared" si="3"/>
        <v>187718.84706726298</v>
      </c>
      <c r="K33" s="474">
        <f t="shared" si="4"/>
        <v>187718.84706726312</v>
      </c>
    </row>
    <row r="34" spans="6:11">
      <c r="F34" s="1">
        <v>32</v>
      </c>
      <c r="G34" s="492">
        <f t="shared" si="0"/>
        <v>0.38833703413696569</v>
      </c>
      <c r="H34">
        <f t="shared" si="1"/>
        <v>6053091.7562115286</v>
      </c>
      <c r="I34">
        <f t="shared" si="2"/>
        <v>5870840.4483792335</v>
      </c>
      <c r="J34">
        <f t="shared" si="3"/>
        <v>182251.30783229508</v>
      </c>
      <c r="K34" s="474">
        <f t="shared" si="4"/>
        <v>182251.30783229432</v>
      </c>
    </row>
    <row r="35" spans="6:11">
      <c r="F35" s="1">
        <v>33</v>
      </c>
      <c r="G35" s="492">
        <f t="shared" si="0"/>
        <v>0.37702624673491814</v>
      </c>
      <c r="H35">
        <f t="shared" si="1"/>
        <v>5876788.1128267264</v>
      </c>
      <c r="I35">
        <f t="shared" si="2"/>
        <v>5699845.0955138188</v>
      </c>
      <c r="J35">
        <f t="shared" si="3"/>
        <v>176943.01731290761</v>
      </c>
      <c r="K35" s="474">
        <f t="shared" si="4"/>
        <v>176943.01731290709</v>
      </c>
    </row>
    <row r="36" spans="6:11">
      <c r="F36" s="1">
        <v>34</v>
      </c>
      <c r="G36" s="492">
        <f t="shared" si="0"/>
        <v>0.36604489974263904</v>
      </c>
      <c r="H36">
        <f t="shared" si="1"/>
        <v>5705619.5270162402</v>
      </c>
      <c r="I36">
        <f t="shared" si="2"/>
        <v>5533830.1898192419</v>
      </c>
      <c r="J36">
        <f t="shared" si="3"/>
        <v>171789.3371969983</v>
      </c>
      <c r="K36" s="474">
        <f t="shared" si="4"/>
        <v>171789.33719699722</v>
      </c>
    </row>
    <row r="37" spans="6:11">
      <c r="F37" s="1">
        <v>35</v>
      </c>
      <c r="G37" s="492">
        <f t="shared" si="0"/>
        <v>0.35538339780838735</v>
      </c>
      <c r="H37">
        <f t="shared" si="1"/>
        <v>5539436.4339963486</v>
      </c>
      <c r="I37">
        <f t="shared" si="2"/>
        <v>5372650.6697274195</v>
      </c>
      <c r="J37">
        <f t="shared" si="3"/>
        <v>166785.76426892914</v>
      </c>
      <c r="K37" s="474">
        <f t="shared" si="4"/>
        <v>166785.76426892931</v>
      </c>
    </row>
    <row r="38" spans="6:11">
      <c r="F38" s="1">
        <v>36</v>
      </c>
      <c r="G38" s="492">
        <f t="shared" si="0"/>
        <v>0.34503242505668674</v>
      </c>
      <c r="H38">
        <f t="shared" si="1"/>
        <v>5378093.625239173</v>
      </c>
      <c r="I38">
        <f t="shared" si="2"/>
        <v>5216165.6987644844</v>
      </c>
      <c r="J38">
        <f t="shared" si="3"/>
        <v>161927.92647468857</v>
      </c>
      <c r="K38" s="474">
        <f t="shared" si="4"/>
        <v>161927.92647468866</v>
      </c>
    </row>
    <row r="39" spans="6:11">
      <c r="F39" s="1">
        <v>37</v>
      </c>
      <c r="G39" s="492">
        <f t="shared" si="0"/>
        <v>0.33498293694823961</v>
      </c>
      <c r="H39">
        <f t="shared" si="1"/>
        <v>5221450.1215914311</v>
      </c>
      <c r="I39">
        <f t="shared" si="2"/>
        <v>5064238.5424897922</v>
      </c>
      <c r="J39">
        <f t="shared" si="3"/>
        <v>157211.57910163887</v>
      </c>
      <c r="K39" s="474">
        <f t="shared" si="4"/>
        <v>157211.57910163948</v>
      </c>
    </row>
    <row r="40" spans="6:11">
      <c r="F40" s="1">
        <v>38</v>
      </c>
      <c r="G40" s="492">
        <f t="shared" si="0"/>
        <v>0.3252261523769317</v>
      </c>
      <c r="H40">
        <f t="shared" si="1"/>
        <v>5069369.0500887688</v>
      </c>
      <c r="I40">
        <f t="shared" si="2"/>
        <v>4916736.449019216</v>
      </c>
      <c r="J40">
        <f t="shared" si="3"/>
        <v>152632.60106955282</v>
      </c>
      <c r="K40" s="474">
        <f t="shared" si="4"/>
        <v>152632.60106955291</v>
      </c>
    </row>
    <row r="41" spans="6:11">
      <c r="F41" s="1">
        <v>39</v>
      </c>
      <c r="G41" s="492">
        <f t="shared" si="0"/>
        <v>0.31575354599702099</v>
      </c>
      <c r="H41">
        <f t="shared" si="1"/>
        <v>4921717.5243580267</v>
      </c>
      <c r="I41">
        <f t="shared" si="2"/>
        <v>4773530.5330283633</v>
      </c>
      <c r="J41">
        <f t="shared" si="3"/>
        <v>148186.99132966343</v>
      </c>
      <c r="K41" s="474">
        <f t="shared" si="4"/>
        <v>148186.99132966297</v>
      </c>
    </row>
    <row r="42" spans="6:11">
      <c r="F42" s="1">
        <v>40</v>
      </c>
      <c r="G42" s="492">
        <f t="shared" si="0"/>
        <v>0.30655684077380685</v>
      </c>
      <c r="H42">
        <f t="shared" si="1"/>
        <v>4778366.5285029393</v>
      </c>
      <c r="I42">
        <f t="shared" si="2"/>
        <v>4634495.6631343346</v>
      </c>
      <c r="J42">
        <f t="shared" si="3"/>
        <v>143870.86536860466</v>
      </c>
      <c r="K42" s="474">
        <f t="shared" si="4"/>
        <v>143870.86536860489</v>
      </c>
    </row>
    <row r="43" spans="6:11">
      <c r="F43" s="1">
        <v>41</v>
      </c>
      <c r="G43" s="492">
        <f t="shared" si="0"/>
        <v>0.29762800075126877</v>
      </c>
      <c r="H43">
        <f t="shared" si="1"/>
        <v>4639190.8043717863</v>
      </c>
      <c r="I43">
        <f t="shared" si="2"/>
        <v>4499510.3525576061</v>
      </c>
      <c r="J43">
        <f t="shared" si="3"/>
        <v>139680.45181418024</v>
      </c>
      <c r="K43" s="474">
        <f t="shared" si="4"/>
        <v>139680.45181417948</v>
      </c>
    </row>
    <row r="44" spans="6:11">
      <c r="F44" s="1">
        <v>42</v>
      </c>
      <c r="G44" s="492">
        <f t="shared" si="0"/>
        <v>0.28895922403035801</v>
      </c>
      <c r="H44">
        <f t="shared" si="1"/>
        <v>4504068.7421085294</v>
      </c>
      <c r="I44">
        <f t="shared" si="2"/>
        <v>4368456.6529685492</v>
      </c>
      <c r="J44">
        <f t="shared" si="3"/>
        <v>135612.08913998026</v>
      </c>
      <c r="K44" s="474">
        <f t="shared" si="4"/>
        <v>135612.08913998006</v>
      </c>
    </row>
    <row r="45" spans="6:11">
      <c r="F45" s="1">
        <v>43</v>
      </c>
      <c r="G45" s="492">
        <f t="shared" si="0"/>
        <v>0.28054293595180391</v>
      </c>
      <c r="H45">
        <f t="shared" si="1"/>
        <v>4372882.2738917759</v>
      </c>
      <c r="I45">
        <f t="shared" si="2"/>
        <v>4241220.0514257764</v>
      </c>
      <c r="J45">
        <f t="shared" si="3"/>
        <v>131662.22246599942</v>
      </c>
      <c r="K45" s="474">
        <f t="shared" si="4"/>
        <v>131662.22246600006</v>
      </c>
    </row>
    <row r="46" spans="6:11">
      <c r="F46" s="1">
        <v>44</v>
      </c>
      <c r="G46" s="492">
        <f t="shared" si="0"/>
        <v>0.27237178247747956</v>
      </c>
      <c r="H46">
        <f t="shared" si="1"/>
        <v>4245516.770768716</v>
      </c>
      <c r="I46">
        <f t="shared" si="2"/>
        <v>4117689.370316288</v>
      </c>
      <c r="J46">
        <f t="shared" si="3"/>
        <v>127827.40045242803</v>
      </c>
      <c r="K46" s="474">
        <f t="shared" si="4"/>
        <v>127827.40045242728</v>
      </c>
    </row>
    <row r="47" spans="6:11">
      <c r="F47" s="1">
        <v>45</v>
      </c>
      <c r="G47" s="492">
        <f t="shared" si="0"/>
        <v>0.26443862376454325</v>
      </c>
      <c r="H47">
        <f t="shared" si="1"/>
        <v>4121860.9424938983</v>
      </c>
      <c r="I47">
        <f t="shared" si="2"/>
        <v>3997756.6702099885</v>
      </c>
      <c r="J47">
        <f t="shared" si="3"/>
        <v>124104.27228390984</v>
      </c>
      <c r="K47" s="474">
        <f t="shared" si="4"/>
        <v>124104.27228390996</v>
      </c>
    </row>
    <row r="48" spans="6:11">
      <c r="F48" s="1">
        <v>46</v>
      </c>
      <c r="G48" s="492">
        <f t="shared" si="0"/>
        <v>0.25673652792674101</v>
      </c>
      <c r="H48">
        <f t="shared" si="1"/>
        <v>4001806.7402853384</v>
      </c>
      <c r="I48">
        <f t="shared" si="2"/>
        <v>3881317.155543678</v>
      </c>
      <c r="J48">
        <f t="shared" si="3"/>
        <v>120489.58474166039</v>
      </c>
      <c r="K48" s="474">
        <f t="shared" si="4"/>
        <v>120489.58474166016</v>
      </c>
    </row>
    <row r="49" spans="6:11">
      <c r="F49" s="1">
        <v>47</v>
      </c>
      <c r="G49" s="492">
        <f t="shared" si="0"/>
        <v>0.24925876497741845</v>
      </c>
      <c r="H49">
        <f t="shared" si="1"/>
        <v>3885249.2624129495</v>
      </c>
      <c r="I49">
        <f t="shared" si="2"/>
        <v>3768269.0830521141</v>
      </c>
      <c r="J49">
        <f t="shared" si="3"/>
        <v>116980.17936083535</v>
      </c>
      <c r="K49" s="474">
        <f t="shared" si="4"/>
        <v>116980.1793608351</v>
      </c>
    </row>
    <row r="50" spans="6:11">
      <c r="F50" s="1">
        <v>48</v>
      </c>
      <c r="G50" s="492">
        <f t="shared" si="0"/>
        <v>0.24199880094894996</v>
      </c>
      <c r="H50">
        <f t="shared" si="1"/>
        <v>3772086.6625368441</v>
      </c>
      <c r="I50">
        <f t="shared" si="2"/>
        <v>3658513.6728661307</v>
      </c>
      <c r="J50">
        <f t="shared" si="3"/>
        <v>113572.98967071343</v>
      </c>
      <c r="K50" s="474">
        <f t="shared" si="4"/>
        <v>113572.98967071369</v>
      </c>
    </row>
    <row r="51" spans="6:11">
      <c r="F51" s="1">
        <v>49</v>
      </c>
      <c r="G51" s="492">
        <f t="shared" si="0"/>
        <v>0.2349502921834466</v>
      </c>
      <c r="H51">
        <f t="shared" si="1"/>
        <v>3662220.0607153834</v>
      </c>
      <c r="I51">
        <f t="shared" si="2"/>
        <v>3551955.0222001276</v>
      </c>
      <c r="J51">
        <f t="shared" si="3"/>
        <v>110265.03851525579</v>
      </c>
      <c r="K51" s="474">
        <f t="shared" si="4"/>
        <v>110265.03851525603</v>
      </c>
    </row>
    <row r="52" spans="6:11">
      <c r="F52" s="1">
        <v>50</v>
      </c>
      <c r="G52" s="492">
        <f t="shared" si="0"/>
        <v>0.22810707978975397</v>
      </c>
      <c r="H52">
        <f t="shared" si="1"/>
        <v>3555553.4570052265</v>
      </c>
      <c r="I52">
        <f t="shared" si="2"/>
        <v>3448500.021553522</v>
      </c>
      <c r="J52">
        <f t="shared" si="3"/>
        <v>107053.43545170454</v>
      </c>
      <c r="K52" s="474">
        <f t="shared" si="4"/>
        <v>107053.43545170488</v>
      </c>
    </row>
    <row r="53" spans="6:11">
      <c r="F53" s="1">
        <v>51</v>
      </c>
      <c r="G53" s="492">
        <f t="shared" si="0"/>
        <v>0.22146318426189707</v>
      </c>
      <c r="H53">
        <f t="shared" si="1"/>
        <v>3451993.6475778897</v>
      </c>
      <c r="I53">
        <f t="shared" si="2"/>
        <v>3348058.2733529336</v>
      </c>
      <c r="J53">
        <f t="shared" si="3"/>
        <v>103935.37422495615</v>
      </c>
      <c r="K53" s="474">
        <f t="shared" si="4"/>
        <v>103935.37422495621</v>
      </c>
    </row>
    <row r="54" spans="6:11">
      <c r="F54" s="1">
        <v>52</v>
      </c>
      <c r="G54" s="492">
        <f t="shared" si="0"/>
        <v>0.215012800254269</v>
      </c>
      <c r="H54">
        <f t="shared" si="1"/>
        <v>3351450.143279505</v>
      </c>
      <c r="I54">
        <f t="shared" si="2"/>
        <v>3250542.012964013</v>
      </c>
      <c r="J54">
        <f t="shared" si="3"/>
        <v>100908.13031549193</v>
      </c>
      <c r="K54" s="474">
        <f t="shared" si="4"/>
        <v>100908.13031549146</v>
      </c>
    </row>
    <row r="55" spans="6:11">
      <c r="F55" s="1">
        <v>53</v>
      </c>
      <c r="G55" s="492">
        <f t="shared" si="0"/>
        <v>0.20875029150899907</v>
      </c>
      <c r="H55">
        <f t="shared" si="1"/>
        <v>3253835.0905626267</v>
      </c>
      <c r="I55">
        <f t="shared" si="2"/>
        <v>3155866.0320038972</v>
      </c>
      <c r="J55">
        <f t="shared" si="3"/>
        <v>97969.058558729477</v>
      </c>
      <c r="K55" s="474">
        <f t="shared" si="4"/>
        <v>97969.058558729594</v>
      </c>
    </row>
    <row r="56" spans="6:11">
      <c r="F56" s="1">
        <v>54</v>
      </c>
      <c r="G56" s="492">
        <f t="shared" si="0"/>
        <v>0.20267018593106703</v>
      </c>
      <c r="H56">
        <f t="shared" si="1"/>
        <v>3159063.1947209965</v>
      </c>
      <c r="I56">
        <f t="shared" si="2"/>
        <v>3063947.6038872786</v>
      </c>
      <c r="J56">
        <f t="shared" si="3"/>
        <v>95115.590833717957</v>
      </c>
      <c r="K56" s="474">
        <f t="shared" si="4"/>
        <v>95115.59083371803</v>
      </c>
    </row>
    <row r="57" spans="6:11">
      <c r="F57" s="1">
        <v>55</v>
      </c>
      <c r="G57" s="492">
        <f t="shared" si="0"/>
        <v>0.19676717080686118</v>
      </c>
      <c r="H57">
        <f t="shared" si="1"/>
        <v>3067051.6453601904</v>
      </c>
      <c r="I57">
        <f t="shared" si="2"/>
        <v>2974706.411541047</v>
      </c>
      <c r="J57">
        <f t="shared" si="3"/>
        <v>92345.233819143381</v>
      </c>
      <c r="K57" s="474">
        <f t="shared" si="4"/>
        <v>92345.233819143716</v>
      </c>
    </row>
    <row r="58" spans="6:11">
      <c r="F58" s="1">
        <v>56</v>
      </c>
      <c r="G58" s="492">
        <f t="shared" si="0"/>
        <v>0.19103608816200118</v>
      </c>
      <c r="H58">
        <f t="shared" si="1"/>
        <v>2977720.0440390203</v>
      </c>
      <c r="I58">
        <f t="shared" si="2"/>
        <v>2888064.4772243178</v>
      </c>
      <c r="J58">
        <f t="shared" si="3"/>
        <v>89655.56681470247</v>
      </c>
      <c r="K58" s="474">
        <f t="shared" si="4"/>
        <v>89655.566814702659</v>
      </c>
    </row>
    <row r="59" spans="6:11">
      <c r="F59" s="1">
        <v>57</v>
      </c>
      <c r="G59" s="492">
        <f t="shared" si="0"/>
        <v>0.18547193025437006</v>
      </c>
      <c r="H59">
        <f t="shared" si="1"/>
        <v>2890990.3340184661</v>
      </c>
      <c r="I59">
        <f t="shared" si="2"/>
        <v>2803946.0943925413</v>
      </c>
      <c r="J59">
        <f t="shared" si="3"/>
        <v>87044.239625924733</v>
      </c>
      <c r="K59" s="474">
        <f t="shared" si="4"/>
        <v>87044.239625924893</v>
      </c>
    </row>
    <row r="60" spans="6:11">
      <c r="F60" s="1">
        <v>58</v>
      </c>
      <c r="G60" s="492">
        <f t="shared" si="0"/>
        <v>0.18006983519841754</v>
      </c>
      <c r="H60">
        <f t="shared" si="1"/>
        <v>2806786.732056763</v>
      </c>
      <c r="I60">
        <f t="shared" si="2"/>
        <v>2722277.7615461564</v>
      </c>
      <c r="J60">
        <f t="shared" si="3"/>
        <v>84508.970510606654</v>
      </c>
      <c r="K60" s="474">
        <f t="shared" si="4"/>
        <v>84508.970510606698</v>
      </c>
    </row>
    <row r="61" spans="6:11">
      <c r="F61" s="1">
        <v>59</v>
      </c>
      <c r="G61" s="492">
        <f t="shared" si="0"/>
        <v>0.17482508271691022</v>
      </c>
      <c r="H61">
        <f t="shared" si="1"/>
        <v>2725035.662191032</v>
      </c>
      <c r="I61">
        <f t="shared" si="2"/>
        <v>2642988.118005977</v>
      </c>
      <c r="J61">
        <f t="shared" si="3"/>
        <v>82047.544185054954</v>
      </c>
      <c r="K61" s="474">
        <f t="shared" si="4"/>
        <v>82047.544185055056</v>
      </c>
    </row>
    <row r="62" spans="6:11">
      <c r="F62" s="1">
        <v>60</v>
      </c>
      <c r="G62" s="492">
        <f t="shared" si="0"/>
        <v>0.1697330900164177</v>
      </c>
      <c r="H62">
        <f t="shared" si="1"/>
        <v>2645665.6914476044</v>
      </c>
      <c r="I62">
        <f t="shared" si="2"/>
        <v>2566007.8815592015</v>
      </c>
      <c r="J62">
        <f t="shared" si="3"/>
        <v>79657.809888402931</v>
      </c>
      <c r="K62" s="474">
        <f t="shared" si="4"/>
        <v>79657.80988840296</v>
      </c>
    </row>
    <row r="63" spans="6:11">
      <c r="F63" s="1">
        <v>61</v>
      </c>
      <c r="G63" s="492">
        <f t="shared" si="0"/>
        <v>0.16478940778292983</v>
      </c>
      <c r="H63">
        <f t="shared" si="1"/>
        <v>2568607.4674248588</v>
      </c>
      <c r="I63">
        <f t="shared" si="2"/>
        <v>2491269.7879215549</v>
      </c>
      <c r="J63">
        <f t="shared" si="3"/>
        <v>77337.679503303953</v>
      </c>
      <c r="K63" s="474">
        <f t="shared" si="4"/>
        <v>77337.679503303865</v>
      </c>
    </row>
    <row r="64" spans="6:11">
      <c r="F64" s="1">
        <v>62</v>
      </c>
      <c r="G64" s="492">
        <f t="shared" si="0"/>
        <v>0.15998971629410663</v>
      </c>
      <c r="H64">
        <f t="shared" si="1"/>
        <v>2493793.6576940375</v>
      </c>
      <c r="I64">
        <f t="shared" si="2"/>
        <v>2418708.5319626746</v>
      </c>
      <c r="J64">
        <f t="shared" si="3"/>
        <v>75085.125731362961</v>
      </c>
      <c r="K64" s="474">
        <f t="shared" si="4"/>
        <v>75085.125731362961</v>
      </c>
    </row>
    <row r="65" spans="6:11">
      <c r="F65" s="1">
        <v>63</v>
      </c>
      <c r="G65" s="492">
        <f t="shared" si="0"/>
        <v>0.15532982164476369</v>
      </c>
      <c r="H65">
        <f t="shared" si="1"/>
        <v>2421158.8909650845</v>
      </c>
      <c r="I65">
        <f t="shared" si="2"/>
        <v>2348260.710643373</v>
      </c>
      <c r="J65">
        <f t="shared" si="3"/>
        <v>72898.180321711581</v>
      </c>
      <c r="K65" s="474">
        <f t="shared" si="4"/>
        <v>72898.18032171161</v>
      </c>
    </row>
    <row r="66" spans="6:11">
      <c r="F66" s="1">
        <v>64</v>
      </c>
      <c r="G66" s="492">
        <f t="shared" si="0"/>
        <v>0.15080565208229488</v>
      </c>
      <c r="H66">
        <f t="shared" si="1"/>
        <v>2350639.6999661024</v>
      </c>
      <c r="I66">
        <f t="shared" si="2"/>
        <v>2279864.7676149257</v>
      </c>
      <c r="J66">
        <f t="shared" si="3"/>
        <v>70774.932351176627</v>
      </c>
      <c r="K66" s="474">
        <f t="shared" si="4"/>
        <v>70774.932351176336</v>
      </c>
    </row>
    <row r="67" spans="6:11">
      <c r="F67" s="1">
        <v>65</v>
      </c>
      <c r="G67" s="492">
        <f t="shared" si="0"/>
        <v>0.14641325444882999</v>
      </c>
      <c r="H67">
        <f t="shared" si="1"/>
        <v>2282174.465986507</v>
      </c>
      <c r="I67">
        <f t="shared" si="2"/>
        <v>2213460.9394319672</v>
      </c>
      <c r="J67">
        <f t="shared" si="3"/>
        <v>68713.5265545398</v>
      </c>
      <c r="K67" s="474">
        <f t="shared" si="4"/>
        <v>68713.526554540134</v>
      </c>
    </row>
    <row r="68" spans="6:11">
      <c r="F68" s="1">
        <v>66</v>
      </c>
      <c r="G68" s="492">
        <f t="shared" ref="G68:G80" si="5">1/(1+$D$13)^F68</f>
        <v>0.14214879072701941</v>
      </c>
      <c r="H68">
        <f t="shared" ref="H68:H80" si="6">G68*$D$5*$D$12</f>
        <v>2215703.3650354436</v>
      </c>
      <c r="I68">
        <f t="shared" ref="I68:I80" si="7">G68*$D$6*$D$12</f>
        <v>2148991.2033320069</v>
      </c>
      <c r="J68">
        <f t="shared" ref="J68:J71" si="8">H68-I68</f>
        <v>66712.161703436635</v>
      </c>
      <c r="K68" s="474">
        <f t="shared" ref="K68:K80" si="9">G68*$D$7*$D$12</f>
        <v>66712.161703437028</v>
      </c>
    </row>
    <row r="69" spans="6:11">
      <c r="F69" s="1">
        <v>67</v>
      </c>
      <c r="G69" s="492">
        <f t="shared" si="5"/>
        <v>0.1380085346864266</v>
      </c>
      <c r="H69">
        <f t="shared" si="6"/>
        <v>2151168.3155683917</v>
      </c>
      <c r="I69">
        <f t="shared" si="7"/>
        <v>2086399.2265359287</v>
      </c>
      <c r="J69">
        <f t="shared" si="8"/>
        <v>64769.089032463031</v>
      </c>
      <c r="K69" s="474">
        <f t="shared" si="9"/>
        <v>64769.089032463125</v>
      </c>
    </row>
    <row r="70" spans="6:11">
      <c r="F70" s="1">
        <v>68</v>
      </c>
      <c r="G70" s="492">
        <f t="shared" si="5"/>
        <v>0.13398886862759865</v>
      </c>
      <c r="H70">
        <f t="shared" si="6"/>
        <v>2088512.9277363028</v>
      </c>
      <c r="I70">
        <f t="shared" si="7"/>
        <v>2025630.3170251737</v>
      </c>
      <c r="J70">
        <f t="shared" si="8"/>
        <v>62882.610711129149</v>
      </c>
      <c r="K70" s="474">
        <f t="shared" si="9"/>
        <v>62882.610711129251</v>
      </c>
    </row>
    <row r="71" spans="6:11">
      <c r="F71" s="1">
        <v>69</v>
      </c>
      <c r="G71" s="492">
        <f t="shared" si="5"/>
        <v>0.13008628022096957</v>
      </c>
      <c r="H71">
        <f t="shared" si="6"/>
        <v>2027682.4541129156</v>
      </c>
      <c r="I71">
        <f t="shared" si="7"/>
        <v>1966631.375752596</v>
      </c>
      <c r="J71">
        <f t="shared" si="8"/>
        <v>61051.078360319603</v>
      </c>
      <c r="K71" s="474">
        <f t="shared" si="9"/>
        <v>61051.078360319661</v>
      </c>
    </row>
    <row r="72" spans="6:11">
      <c r="F72" s="1">
        <v>70</v>
      </c>
      <c r="G72" s="492">
        <f t="shared" si="5"/>
        <v>0.12629735943783454</v>
      </c>
      <c r="H72">
        <f t="shared" si="6"/>
        <v>1968623.7418571997</v>
      </c>
      <c r="I72">
        <f t="shared" si="7"/>
        <v>1909350.850245239</v>
      </c>
      <c r="J72">
        <f>H72-I72</f>
        <v>59272.891611960717</v>
      </c>
      <c r="K72" s="474">
        <f t="shared" si="9"/>
        <v>59272.89161196084</v>
      </c>
    </row>
    <row r="73" spans="6:11">
      <c r="F73" s="1">
        <v>71</v>
      </c>
      <c r="G73" s="492">
        <f t="shared" si="5"/>
        <v>0.12261879557071313</v>
      </c>
      <c r="H73">
        <f t="shared" si="6"/>
        <v>1911285.1862691257</v>
      </c>
      <c r="I73">
        <f t="shared" si="7"/>
        <v>1853738.6895584841</v>
      </c>
      <c r="J73">
        <f t="shared" ref="J73:J80" si="10">H73-I73</f>
        <v>57546.496710641542</v>
      </c>
      <c r="K73" s="474">
        <f t="shared" si="9"/>
        <v>57546.496710641586</v>
      </c>
    </row>
    <row r="74" spans="6:11">
      <c r="F74" s="1">
        <v>72</v>
      </c>
      <c r="G74" s="492">
        <f t="shared" si="5"/>
        <v>0.1190473743404982</v>
      </c>
      <c r="H74">
        <f t="shared" si="6"/>
        <v>1855616.6856981805</v>
      </c>
      <c r="I74">
        <f t="shared" si="7"/>
        <v>1799746.3005422177</v>
      </c>
      <c r="J74">
        <f t="shared" si="10"/>
        <v>55870.38515596278</v>
      </c>
      <c r="K74" s="474">
        <f t="shared" si="9"/>
        <v>55870.385155962707</v>
      </c>
    </row>
    <row r="75" spans="6:11">
      <c r="F75" s="1">
        <v>73</v>
      </c>
      <c r="G75" s="492">
        <f t="shared" si="5"/>
        <v>0.11557997508786232</v>
      </c>
      <c r="H75">
        <f t="shared" si="6"/>
        <v>1801569.5977652236</v>
      </c>
      <c r="I75">
        <f t="shared" si="7"/>
        <v>1747326.5053807937</v>
      </c>
      <c r="J75">
        <f t="shared" si="10"/>
        <v>54243.092384429881</v>
      </c>
      <c r="K75" s="474">
        <f t="shared" si="9"/>
        <v>54243.092384429816</v>
      </c>
    </row>
    <row r="76" spans="6:11">
      <c r="F76" s="1">
        <v>74</v>
      </c>
      <c r="G76" s="492">
        <f t="shared" si="5"/>
        <v>0.11221356804646829</v>
      </c>
      <c r="H76">
        <f t="shared" si="6"/>
        <v>1749096.6968594408</v>
      </c>
      <c r="I76">
        <f t="shared" si="7"/>
        <v>1696433.5003697029</v>
      </c>
      <c r="J76">
        <f t="shared" si="10"/>
        <v>52663.196489737835</v>
      </c>
      <c r="K76" s="474">
        <f t="shared" si="9"/>
        <v>52663.196489737689</v>
      </c>
    </row>
    <row r="77" spans="6:11">
      <c r="F77" s="1">
        <v>75</v>
      </c>
      <c r="G77" s="492">
        <f t="shared" si="5"/>
        <v>0.10894521169560026</v>
      </c>
      <c r="H77">
        <f t="shared" si="6"/>
        <v>1698152.1328732432</v>
      </c>
      <c r="I77">
        <f t="shared" si="7"/>
        <v>1647022.815892915</v>
      </c>
      <c r="J77">
        <f t="shared" si="10"/>
        <v>51129.316980328178</v>
      </c>
      <c r="K77" s="474">
        <f t="shared" si="9"/>
        <v>51129.316980327843</v>
      </c>
    </row>
    <row r="78" spans="6:11">
      <c r="F78" s="1">
        <v>76</v>
      </c>
      <c r="G78" s="492">
        <f t="shared" si="5"/>
        <v>0.10577205018990318</v>
      </c>
      <c r="H78">
        <f t="shared" si="6"/>
        <v>1648691.3911390712</v>
      </c>
      <c r="I78">
        <f t="shared" si="7"/>
        <v>1599051.2775659373</v>
      </c>
      <c r="J78">
        <f t="shared" si="10"/>
        <v>49640.113573133945</v>
      </c>
      <c r="K78" s="474">
        <f t="shared" si="9"/>
        <v>49640.113573133844</v>
      </c>
    </row>
    <row r="79" spans="6:11">
      <c r="F79" s="1">
        <v>77</v>
      </c>
      <c r="G79" s="492">
        <f t="shared" si="5"/>
        <v>0.10269131086398368</v>
      </c>
      <c r="H79">
        <f t="shared" si="6"/>
        <v>1600671.2535330791</v>
      </c>
      <c r="I79">
        <f t="shared" si="7"/>
        <v>1552476.9685106189</v>
      </c>
      <c r="J79">
        <f t="shared" si="10"/>
        <v>48194.285022460157</v>
      </c>
      <c r="K79" s="474">
        <f t="shared" si="9"/>
        <v>48194.285022460041</v>
      </c>
    </row>
    <row r="80" spans="6:11">
      <c r="F80" s="1">
        <v>78</v>
      </c>
      <c r="G80" s="492">
        <f t="shared" si="5"/>
        <v>9.9700301809692873E-2</v>
      </c>
      <c r="H80">
        <f t="shared" si="6"/>
        <v>1554049.760711727</v>
      </c>
      <c r="I80">
        <f t="shared" si="7"/>
        <v>1507259.192728756</v>
      </c>
      <c r="J80">
        <f t="shared" si="10"/>
        <v>46790.56798297097</v>
      </c>
      <c r="K80" s="474">
        <f t="shared" si="9"/>
        <v>46790.567982970904</v>
      </c>
    </row>
    <row r="83" spans="4:5">
      <c r="D83" s="54"/>
      <c r="E83" s="54"/>
    </row>
    <row r="84" spans="4:5">
      <c r="D84" s="54"/>
      <c r="E84" s="54"/>
    </row>
    <row r="85" spans="4:5">
      <c r="D85" s="54"/>
      <c r="E85" s="54"/>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D35FB-DD3A-D540-91BB-D5935C021329}">
  <sheetPr codeName="Sheet10"/>
  <dimension ref="A2:N77"/>
  <sheetViews>
    <sheetView topLeftCell="E1" zoomScale="90" zoomScaleNormal="90" workbookViewId="0">
      <selection activeCell="I29" sqref="I29"/>
    </sheetView>
  </sheetViews>
  <sheetFormatPr defaultColWidth="10.83203125" defaultRowHeight="18.5"/>
  <cols>
    <col min="1" max="1" width="10.83203125" style="2"/>
    <col min="2" max="2" width="18.5" style="226" customWidth="1"/>
    <col min="3" max="3" width="6.83203125" style="2" customWidth="1"/>
    <col min="4" max="4" width="19.83203125" style="2" customWidth="1"/>
    <col min="5" max="5" width="25.58203125" style="2" customWidth="1"/>
    <col min="6" max="6" width="16.5" style="2" customWidth="1"/>
    <col min="7" max="7" width="26" style="2" customWidth="1"/>
    <col min="8" max="9" width="26.33203125" style="2" customWidth="1"/>
    <col min="10" max="10" width="29" style="2" customWidth="1"/>
    <col min="11" max="11" width="28" style="2" customWidth="1"/>
    <col min="12" max="12" width="26.08203125" style="2" customWidth="1"/>
    <col min="13" max="13" width="15.6640625" style="2" customWidth="1"/>
    <col min="14" max="14" width="10.83203125" style="2"/>
    <col min="15" max="15" width="21.5" style="2" customWidth="1"/>
    <col min="16" max="16" width="18" style="2" customWidth="1"/>
    <col min="17" max="17" width="16" style="2" bestFit="1" customWidth="1"/>
    <col min="18" max="18" width="15" style="2" bestFit="1" customWidth="1"/>
    <col min="19" max="19" width="19.83203125" style="2" customWidth="1"/>
    <col min="20" max="20" width="17" style="2" bestFit="1" customWidth="1"/>
    <col min="21" max="21" width="17.83203125" style="2" customWidth="1"/>
    <col min="22" max="22" width="10.83203125" style="2"/>
    <col min="23" max="23" width="14" style="2" customWidth="1"/>
    <col min="24" max="24" width="16" style="2" customWidth="1"/>
    <col min="25" max="25" width="15" style="2" bestFit="1" customWidth="1"/>
    <col min="26" max="26" width="16.5" style="2" customWidth="1"/>
    <col min="27" max="28" width="15" style="2" bestFit="1" customWidth="1"/>
    <col min="29" max="16384" width="10.83203125" style="2"/>
  </cols>
  <sheetData>
    <row r="2" spans="1:14">
      <c r="D2" s="6"/>
      <c r="E2" s="6"/>
      <c r="F2" s="6"/>
    </row>
    <row r="3" spans="1:14" ht="26">
      <c r="B3" s="193"/>
      <c r="C3" s="8"/>
      <c r="D3" s="585"/>
      <c r="E3" s="585"/>
      <c r="F3" s="585"/>
      <c r="G3" s="324"/>
      <c r="H3" s="6"/>
      <c r="I3" s="6"/>
      <c r="J3" s="6"/>
      <c r="K3" s="6"/>
      <c r="L3" s="6"/>
    </row>
    <row r="4" spans="1:14">
      <c r="B4" s="560" t="s">
        <v>1</v>
      </c>
      <c r="C4" s="8"/>
      <c r="D4" s="593" t="str">
        <f>_xlfn.CONCAT("Health Burden of Substandard and Falsified ",Setting!E6, " in ", Setting!E22)</f>
        <v xml:space="preserve">Health Burden of Substandard and Falsified amoxycillin in </v>
      </c>
      <c r="E4" s="594"/>
      <c r="F4" s="594"/>
      <c r="G4" s="594"/>
      <c r="H4" s="594"/>
      <c r="I4" s="594"/>
      <c r="J4" s="594"/>
      <c r="K4" s="594"/>
      <c r="L4" s="595"/>
      <c r="M4" s="5"/>
    </row>
    <row r="5" spans="1:14">
      <c r="B5" s="561"/>
      <c r="C5" s="8"/>
      <c r="D5" s="325" t="s">
        <v>416</v>
      </c>
      <c r="L5" s="29"/>
      <c r="M5" s="5"/>
    </row>
    <row r="6" spans="1:14">
      <c r="B6" s="200"/>
      <c r="C6" s="8"/>
      <c r="D6" s="28"/>
      <c r="E6" s="95" t="s">
        <v>694</v>
      </c>
      <c r="F6" s="95" t="s">
        <v>49</v>
      </c>
      <c r="G6" s="95" t="s">
        <v>50</v>
      </c>
      <c r="H6" s="95" t="s">
        <v>51</v>
      </c>
      <c r="I6" s="95" t="str">
        <f>Setting!E16</f>
        <v>severe pneumonia</v>
      </c>
      <c r="J6" s="95" t="str">
        <f>Setting!E17</f>
        <v>very severe pneumonia</v>
      </c>
      <c r="K6" s="95" t="str">
        <f>Setting!E18</f>
        <v>Custom 3</v>
      </c>
      <c r="L6" s="326" t="str">
        <f>Setting!E19</f>
        <v>Custom 4</v>
      </c>
      <c r="M6" s="5"/>
    </row>
    <row r="7" spans="1:14" ht="15.5">
      <c r="B7" s="543" t="s">
        <v>5</v>
      </c>
      <c r="C7" s="8"/>
      <c r="D7" s="327" t="s">
        <v>410</v>
      </c>
      <c r="E7" s="498">
        <f>'Mortality Cost Calculation'!D22</f>
        <v>179752.40434296613</v>
      </c>
      <c r="F7" s="92">
        <f>SUM( Model!AO4:AO46)-SUMPRODUCT(Model!AO4:AO46,Model!$AW$4:$AW$46)*qaly_ad</f>
        <v>0</v>
      </c>
      <c r="G7" s="92">
        <f>SUM( Model!AP4:AP46)-SUMPRODUCT(Model!AP4:AP46,Model!$AW$4:$AW$46)*daly_ad</f>
        <v>0</v>
      </c>
      <c r="H7" s="498">
        <f>SUM(Model!AQ4:AQ46)-SUMPRODUCT(Model!AQ4:AQ46,Model!$AW$4:$AW$46)*death_ad</f>
        <v>7114.2</v>
      </c>
      <c r="I7" s="498">
        <f>SUM(Model!AR4:AR46)-SUMPRODUCT(Model!AR4:AR46,Model!$AW$4:$AW$46)*custom1_ad</f>
        <v>181283.50000000003</v>
      </c>
      <c r="J7" s="498">
        <f>SUM(Model!AS4:AS46)-SUMPRODUCT(Model!AS4:AS46,Model!$AW$4:$AW$46)*custom2_ad</f>
        <v>72513.399999999994</v>
      </c>
      <c r="K7" s="92">
        <f>SUM(Model!AT4:AT46)-SUMPRODUCT(Model!AT4:AT46,Model!$AW$4:$AW$46)*custom3_ad</f>
        <v>0</v>
      </c>
      <c r="L7" s="328">
        <f>SUM(Model!AU4:AU46)-SUMPRODUCT(Model!AU4:AU46,Model!$AW$4:$AW$46)*custom4_ad</f>
        <v>0</v>
      </c>
      <c r="M7" s="5"/>
    </row>
    <row r="8" spans="1:14" ht="15.5">
      <c r="B8" s="544"/>
      <c r="C8" s="8"/>
      <c r="D8" s="329" t="s">
        <v>411</v>
      </c>
      <c r="E8" s="499">
        <f>'Mortality Cost Calculation'!D23</f>
        <v>174340.27578174163</v>
      </c>
      <c r="F8" s="93">
        <f>SUM(Model!AO50:AO74)</f>
        <v>0</v>
      </c>
      <c r="G8" s="93">
        <f>SUM(Model!AP50:AP74)</f>
        <v>0</v>
      </c>
      <c r="H8" s="499">
        <f>SUM(Model!AQ50:AQ74)</f>
        <v>6900</v>
      </c>
      <c r="I8" s="499">
        <f>SUM(Model!AR50:AR74)</f>
        <v>175750.00000000003</v>
      </c>
      <c r="J8" s="499">
        <f>SUM(Model!AS50:AS74)</f>
        <v>70300</v>
      </c>
      <c r="K8" s="93">
        <f>SUM(Model!AT50:AT74)</f>
        <v>0</v>
      </c>
      <c r="L8" s="330">
        <f>SUM(Model!AU50:AU74)</f>
        <v>0</v>
      </c>
      <c r="M8" s="5"/>
    </row>
    <row r="9" spans="1:14">
      <c r="B9" s="250"/>
      <c r="C9" s="8"/>
      <c r="D9" s="327" t="s">
        <v>413</v>
      </c>
      <c r="E9" s="497">
        <f>E7-E8</f>
        <v>5412.1285612244974</v>
      </c>
      <c r="F9" s="94">
        <f>F7-F8</f>
        <v>0</v>
      </c>
      <c r="G9" s="94">
        <f t="shared" ref="G9:L9" si="0">G7-G8</f>
        <v>0</v>
      </c>
      <c r="H9" s="497">
        <f t="shared" si="0"/>
        <v>214.19999999999982</v>
      </c>
      <c r="I9" s="497">
        <f t="shared" si="0"/>
        <v>5533.5</v>
      </c>
      <c r="J9" s="497">
        <f t="shared" si="0"/>
        <v>2213.3999999999942</v>
      </c>
      <c r="K9" s="94">
        <f t="shared" si="0"/>
        <v>0</v>
      </c>
      <c r="L9" s="331">
        <f t="shared" si="0"/>
        <v>0</v>
      </c>
      <c r="M9" s="5"/>
    </row>
    <row r="10" spans="1:14" ht="15.5">
      <c r="B10" s="576" t="s">
        <v>8</v>
      </c>
      <c r="C10" s="8"/>
      <c r="D10" s="332"/>
      <c r="L10" s="29"/>
      <c r="M10" s="5"/>
    </row>
    <row r="11" spans="1:14">
      <c r="B11" s="576"/>
      <c r="C11" s="8"/>
      <c r="D11" s="596" t="str">
        <f>_xlfn.CONCAT("Economic Burden of Substandard and Falsified ",Setting!E6," in ", Setting!E22)</f>
        <v xml:space="preserve">Economic Burden of Substandard and Falsified amoxycillin in </v>
      </c>
      <c r="E11" s="597"/>
      <c r="F11" s="597"/>
      <c r="G11" s="597"/>
      <c r="H11" s="597"/>
      <c r="I11" s="597"/>
      <c r="J11" s="597"/>
      <c r="K11" s="112"/>
      <c r="L11" s="333"/>
      <c r="M11" s="5"/>
    </row>
    <row r="12" spans="1:14">
      <c r="B12" s="250"/>
      <c r="C12" s="8"/>
      <c r="D12" s="325" t="s">
        <v>416</v>
      </c>
      <c r="L12" s="29"/>
      <c r="M12" s="324"/>
    </row>
    <row r="13" spans="1:14" ht="15.5">
      <c r="B13" s="576" t="s">
        <v>12</v>
      </c>
      <c r="C13" s="8"/>
      <c r="D13" s="334"/>
      <c r="E13" s="111" t="s">
        <v>423</v>
      </c>
      <c r="F13" s="103" t="s">
        <v>412</v>
      </c>
      <c r="G13" s="103" t="str">
        <f>Setting!$E$16</f>
        <v>severe pneumonia</v>
      </c>
      <c r="H13" s="103" t="str">
        <f>Setting!$E$17</f>
        <v>very severe pneumonia</v>
      </c>
      <c r="I13" s="103" t="str">
        <f>Setting!$E$18</f>
        <v>Custom 3</v>
      </c>
      <c r="J13" s="103" t="str">
        <f>Setting!$E$19</f>
        <v>Custom 4</v>
      </c>
      <c r="K13" s="103" t="s">
        <v>698</v>
      </c>
      <c r="L13" s="505" t="s">
        <v>691</v>
      </c>
      <c r="M13" s="504"/>
      <c r="N13" s="5"/>
    </row>
    <row r="14" spans="1:14" ht="15.5">
      <c r="B14" s="576"/>
      <c r="C14" s="8"/>
      <c r="D14" s="335" t="s">
        <v>414</v>
      </c>
      <c r="E14" s="107" t="s">
        <v>424</v>
      </c>
      <c r="F14" s="56">
        <f>SUMPRODUCT(Model!AM4:AM46, Model!AY4:AY46)</f>
        <v>0</v>
      </c>
      <c r="G14" s="56">
        <f>SUMPRODUCT(Model!AR4:AR46, Model!AZ4:AZ46)</f>
        <v>8229701.6549999975</v>
      </c>
      <c r="H14" s="56">
        <f>SUMPRODUCT(Model!AS4:AS46,Model!BA4:BA46)</f>
        <v>10793676.599999998</v>
      </c>
      <c r="I14" s="56">
        <f>SUMPRODUCT(Model!AT4:AT46,Model!BB4:BB46)</f>
        <v>0</v>
      </c>
      <c r="J14" s="56">
        <f>SUMPRODUCT(Model!AU4:AU46, Model!BC4:BC46)</f>
        <v>0</v>
      </c>
      <c r="K14" s="56">
        <f>SUM(F14:H14)</f>
        <v>19023378.254999995</v>
      </c>
      <c r="L14" s="29"/>
      <c r="M14" s="91"/>
      <c r="N14" s="5"/>
    </row>
    <row r="15" spans="1:14">
      <c r="B15" s="246"/>
      <c r="C15" s="8"/>
      <c r="D15" s="336"/>
      <c r="E15" s="105" t="s">
        <v>425</v>
      </c>
      <c r="F15" s="99"/>
      <c r="G15" s="99">
        <f>SUMPRODUCT(Model!AR4:AR46,Model!BE4:BE46)</f>
        <v>6729243.5200000005</v>
      </c>
      <c r="H15" s="99">
        <f>SUMPRODUCT(Model!AS4:AS46, Model!BF4:BF46)</f>
        <v>3869315.0239999993</v>
      </c>
      <c r="I15" s="99">
        <f>SUMPRODUCT(Model!AT4:AT46,Model!BG4:BG46)</f>
        <v>0</v>
      </c>
      <c r="J15" s="99">
        <f>SUMPRODUCT(Model!AU4:AU46, Model!BH4:BH46)</f>
        <v>0</v>
      </c>
      <c r="K15" s="510">
        <f>SUM(F15:H15)</f>
        <v>10598558.544</v>
      </c>
      <c r="L15" s="506">
        <f>'Mortality Cost Calculation'!C22</f>
        <v>393837517.91543877</v>
      </c>
      <c r="M15" s="91"/>
      <c r="N15" s="5"/>
    </row>
    <row r="16" spans="1:14" ht="15.5">
      <c r="A16" s="8"/>
      <c r="B16" s="592" t="s">
        <v>15</v>
      </c>
      <c r="C16" s="15"/>
      <c r="D16" s="337"/>
      <c r="E16" s="106" t="s">
        <v>426</v>
      </c>
      <c r="F16" s="101">
        <f>F14</f>
        <v>0</v>
      </c>
      <c r="G16" s="101">
        <f>G14+G15</f>
        <v>14958945.174999997</v>
      </c>
      <c r="H16" s="101">
        <f t="shared" ref="H16:J16" si="1">H14+H15</f>
        <v>14662991.623999998</v>
      </c>
      <c r="I16" s="101">
        <f t="shared" si="1"/>
        <v>0</v>
      </c>
      <c r="J16" s="101">
        <f t="shared" si="1"/>
        <v>0</v>
      </c>
      <c r="K16" s="511">
        <f>K14+K15</f>
        <v>29621936.798999995</v>
      </c>
      <c r="L16" s="345">
        <f>L14+L15</f>
        <v>393837517.91543877</v>
      </c>
      <c r="M16" s="91"/>
      <c r="N16" s="5"/>
    </row>
    <row r="17" spans="1:14" ht="15.5">
      <c r="A17" s="8"/>
      <c r="B17" s="592"/>
      <c r="C17" s="15"/>
      <c r="D17" s="335" t="s">
        <v>411</v>
      </c>
      <c r="E17" s="107" t="s">
        <v>424</v>
      </c>
      <c r="F17" s="98">
        <f>SUMPRODUCT(Model!AM50:AM74, Model!AY50:AY74)</f>
        <v>0</v>
      </c>
      <c r="G17" s="98">
        <f>SUMPRODUCT(Model!AR50:AR74,Model!AZ50:AZ74)</f>
        <v>6796912.5</v>
      </c>
      <c r="H17" s="98">
        <f>SUMPRODUCT(Model!AS50:AS74,Model!BA50:BA74)</f>
        <v>8914499.9999999981</v>
      </c>
      <c r="I17" s="98">
        <f>SUMPRODUCT(Model!AT50:AT74,Model!BB50:BB74)</f>
        <v>0</v>
      </c>
      <c r="J17" s="98">
        <f>SUMPRODUCT(Model!AU50:AU74,Model!BC50:BC74)</f>
        <v>0</v>
      </c>
      <c r="K17" s="56">
        <f>SUM(F17:H17)</f>
        <v>15711412.499999998</v>
      </c>
      <c r="L17" s="507"/>
      <c r="M17" s="91"/>
      <c r="N17" s="5"/>
    </row>
    <row r="18" spans="1:14">
      <c r="B18" s="247"/>
      <c r="C18" s="8"/>
      <c r="D18" s="336"/>
      <c r="E18" s="105" t="s">
        <v>425</v>
      </c>
      <c r="F18" s="99"/>
      <c r="G18" s="99">
        <f>SUMPRODUCT(Model!AR50:AR74,Model!BE50:BE74)</f>
        <v>6523840.0000000009</v>
      </c>
      <c r="H18" s="99">
        <f>SUMPRODUCT(Model!AS50:AS74, Model!BF50:BF74)</f>
        <v>3751207.9999999995</v>
      </c>
      <c r="I18" s="99">
        <f>SUMPRODUCT(Model!AT50:AT74,Model!BG50:BG74)</f>
        <v>0</v>
      </c>
      <c r="J18" s="99">
        <f>SUMPRODUCT(Model!AU50:AU74, Model!BH50:BH74)</f>
        <v>0</v>
      </c>
      <c r="K18" s="510">
        <f>SUM(F18:H18)</f>
        <v>10275048</v>
      </c>
      <c r="L18" s="506">
        <f>'Mortality Cost Calculation'!C23</f>
        <v>381979544.23779589</v>
      </c>
      <c r="M18" s="91"/>
      <c r="N18" s="15"/>
    </row>
    <row r="19" spans="1:14" ht="18" customHeight="1">
      <c r="B19" s="540" t="s">
        <v>18</v>
      </c>
      <c r="C19" s="8"/>
      <c r="D19" s="337"/>
      <c r="E19" s="106" t="s">
        <v>426</v>
      </c>
      <c r="F19" s="101">
        <f>F17</f>
        <v>0</v>
      </c>
      <c r="G19" s="101">
        <f>G17+G18</f>
        <v>13320752.5</v>
      </c>
      <c r="H19" s="101">
        <f t="shared" ref="H19:J19" si="2">H17+H18</f>
        <v>12665707.999999998</v>
      </c>
      <c r="I19" s="101">
        <f t="shared" si="2"/>
        <v>0</v>
      </c>
      <c r="J19" s="101">
        <f t="shared" si="2"/>
        <v>0</v>
      </c>
      <c r="K19" s="511">
        <f>K17+K18</f>
        <v>25986460.5</v>
      </c>
      <c r="L19" s="345">
        <f>L17+L18</f>
        <v>381979544.23779589</v>
      </c>
      <c r="M19" s="91"/>
      <c r="N19" s="15"/>
    </row>
    <row r="20" spans="1:14" ht="16" customHeight="1">
      <c r="B20" s="541"/>
      <c r="C20" s="8"/>
      <c r="D20" s="336" t="s">
        <v>427</v>
      </c>
      <c r="E20" s="104" t="s">
        <v>424</v>
      </c>
      <c r="F20" s="98">
        <f>F14-F17</f>
        <v>0</v>
      </c>
      <c r="G20" s="98">
        <f t="shared" ref="G20:J20" si="3">G14-G17</f>
        <v>1432789.1549999975</v>
      </c>
      <c r="H20" s="98">
        <f t="shared" si="3"/>
        <v>1879176.5999999996</v>
      </c>
      <c r="I20" s="98">
        <f t="shared" si="3"/>
        <v>0</v>
      </c>
      <c r="J20" s="98">
        <f t="shared" si="3"/>
        <v>0</v>
      </c>
      <c r="K20" s="98">
        <f t="shared" ref="K20" si="4">K14-K17</f>
        <v>3311965.7549999971</v>
      </c>
      <c r="L20" s="507"/>
      <c r="M20" s="91"/>
      <c r="N20" s="5"/>
    </row>
    <row r="21" spans="1:14" ht="19" customHeight="1">
      <c r="B21" s="541"/>
      <c r="C21" s="8"/>
      <c r="D21" s="338"/>
      <c r="E21" s="105" t="s">
        <v>425</v>
      </c>
      <c r="F21" s="99"/>
      <c r="G21" s="99">
        <f>G15-G18</f>
        <v>205403.51999999955</v>
      </c>
      <c r="H21" s="99">
        <f t="shared" ref="H21:J21" si="5">H15-H18</f>
        <v>118107.02399999974</v>
      </c>
      <c r="I21" s="99">
        <f t="shared" si="5"/>
        <v>0</v>
      </c>
      <c r="J21" s="99">
        <f t="shared" si="5"/>
        <v>0</v>
      </c>
      <c r="K21" s="99">
        <f>K15-K18</f>
        <v>323510.54399999976</v>
      </c>
      <c r="L21" s="508">
        <f>L15-L18</f>
        <v>11857973.677642882</v>
      </c>
      <c r="M21" s="91"/>
      <c r="N21" s="15"/>
    </row>
    <row r="22" spans="1:14" ht="19" customHeight="1">
      <c r="B22" s="542"/>
      <c r="C22" s="8"/>
      <c r="D22" s="337"/>
      <c r="E22" s="108" t="s">
        <v>426</v>
      </c>
      <c r="F22" s="102">
        <f>F16-F19</f>
        <v>0</v>
      </c>
      <c r="G22" s="102">
        <f>G16-G19</f>
        <v>1638192.674999997</v>
      </c>
      <c r="H22" s="102">
        <f t="shared" ref="H22:J22" si="6">H16-H19</f>
        <v>1997283.6239999998</v>
      </c>
      <c r="I22" s="102">
        <f t="shared" si="6"/>
        <v>0</v>
      </c>
      <c r="J22" s="102">
        <f t="shared" si="6"/>
        <v>0</v>
      </c>
      <c r="K22" s="102">
        <f>K16-K19</f>
        <v>3635476.298999995</v>
      </c>
      <c r="L22" s="509">
        <f>L16-L19</f>
        <v>11857973.677642882</v>
      </c>
      <c r="M22" s="91"/>
      <c r="N22" s="5"/>
    </row>
    <row r="23" spans="1:14">
      <c r="B23" s="249"/>
      <c r="C23" s="8"/>
      <c r="D23" s="339"/>
      <c r="E23" s="109"/>
      <c r="F23" s="109"/>
      <c r="G23" s="343"/>
      <c r="H23" s="343"/>
      <c r="I23" s="343"/>
      <c r="J23" s="109"/>
      <c r="L23" s="29"/>
      <c r="M23" s="16"/>
    </row>
    <row r="24" spans="1:14" ht="15.5">
      <c r="B24" s="543" t="s">
        <v>29</v>
      </c>
      <c r="C24" s="8"/>
      <c r="D24" s="340"/>
      <c r="F24" s="8"/>
      <c r="G24" s="344" t="s">
        <v>428</v>
      </c>
      <c r="H24" s="110" t="s">
        <v>424</v>
      </c>
      <c r="I24" s="345">
        <f>SUM(K20:L20)</f>
        <v>3311965.7549999971</v>
      </c>
      <c r="J24" s="92"/>
      <c r="L24" s="29"/>
      <c r="M24" s="5"/>
    </row>
    <row r="25" spans="1:14" ht="15.5">
      <c r="B25" s="544"/>
      <c r="C25" s="8"/>
      <c r="D25" s="340"/>
      <c r="F25" s="8"/>
      <c r="G25" s="340"/>
      <c r="H25" s="110" t="s">
        <v>425</v>
      </c>
      <c r="I25" s="346">
        <f>SUM(K21:L21)</f>
        <v>12181484.221642882</v>
      </c>
      <c r="J25" s="92"/>
      <c r="L25" s="29"/>
      <c r="M25" s="5"/>
    </row>
    <row r="26" spans="1:14">
      <c r="B26" s="214"/>
      <c r="C26" s="8"/>
      <c r="D26" s="340"/>
      <c r="F26" s="8"/>
      <c r="G26" s="341"/>
      <c r="H26" s="342" t="s">
        <v>426</v>
      </c>
      <c r="I26" s="347">
        <f>SUM(K22:L22)</f>
        <v>15493449.976642877</v>
      </c>
      <c r="J26" s="92"/>
      <c r="L26" s="29"/>
      <c r="M26" s="5"/>
    </row>
    <row r="27" spans="1:14">
      <c r="B27" s="214"/>
      <c r="C27" s="8"/>
      <c r="D27" s="41"/>
      <c r="E27" s="17"/>
      <c r="F27" s="100"/>
      <c r="G27" s="100"/>
      <c r="H27" s="100"/>
      <c r="I27" s="100"/>
      <c r="J27" s="17"/>
      <c r="K27" s="17"/>
      <c r="L27" s="42"/>
      <c r="M27" s="5"/>
    </row>
    <row r="28" spans="1:14">
      <c r="B28" s="214"/>
      <c r="D28" s="4"/>
      <c r="E28" s="4"/>
      <c r="F28" s="4"/>
      <c r="G28" s="4"/>
      <c r="H28" s="4"/>
      <c r="I28" s="4"/>
      <c r="J28" s="4"/>
      <c r="K28" s="4"/>
      <c r="L28" s="4"/>
    </row>
    <row r="29" spans="1:14">
      <c r="B29" s="214"/>
      <c r="I29" s="513">
        <f>L15+K15</f>
        <v>404436076.4594388</v>
      </c>
      <c r="J29" s="513">
        <f>K16+L16</f>
        <v>423459454.7144388</v>
      </c>
    </row>
    <row r="30" spans="1:14">
      <c r="B30" s="214"/>
      <c r="I30" s="513">
        <f>L18+K18</f>
        <v>392254592.23779589</v>
      </c>
      <c r="J30" s="513">
        <f>K19+L19</f>
        <v>407966004.73779589</v>
      </c>
    </row>
    <row r="31" spans="1:14">
      <c r="B31" s="214"/>
      <c r="I31" s="513">
        <f>L21+K21</f>
        <v>12181484.221642882</v>
      </c>
      <c r="J31" s="513">
        <f>K22+L22</f>
        <v>15493449.976642877</v>
      </c>
    </row>
    <row r="32" spans="1:14">
      <c r="B32" s="214"/>
    </row>
    <row r="33" spans="2:2">
      <c r="B33" s="214"/>
    </row>
    <row r="34" spans="2:2">
      <c r="B34" s="206"/>
    </row>
    <row r="35" spans="2:2">
      <c r="B35" s="206"/>
    </row>
    <row r="36" spans="2:2">
      <c r="B36" s="206"/>
    </row>
    <row r="37" spans="2:2">
      <c r="B37" s="206"/>
    </row>
    <row r="38" spans="2:2">
      <c r="B38" s="206"/>
    </row>
    <row r="51" spans="2:2">
      <c r="B51" s="206"/>
    </row>
    <row r="52" spans="2:2">
      <c r="B52" s="206"/>
    </row>
    <row r="53" spans="2:2">
      <c r="B53" s="206"/>
    </row>
    <row r="54" spans="2:2">
      <c r="B54" s="206"/>
    </row>
    <row r="55" spans="2:2">
      <c r="B55" s="206"/>
    </row>
    <row r="56" spans="2:2">
      <c r="B56" s="206"/>
    </row>
    <row r="57" spans="2:2">
      <c r="B57" s="206"/>
    </row>
    <row r="58" spans="2:2">
      <c r="B58" s="206"/>
    </row>
    <row r="59" spans="2:2">
      <c r="B59" s="206"/>
    </row>
    <row r="60" spans="2:2">
      <c r="B60" s="206"/>
    </row>
    <row r="61" spans="2:2">
      <c r="B61" s="206"/>
    </row>
    <row r="62" spans="2:2">
      <c r="B62" s="206"/>
    </row>
    <row r="63" spans="2:2">
      <c r="B63" s="206"/>
    </row>
    <row r="64" spans="2:2">
      <c r="B64" s="206"/>
    </row>
    <row r="65" spans="2:2">
      <c r="B65" s="206"/>
    </row>
    <row r="66" spans="2:2">
      <c r="B66" s="206"/>
    </row>
    <row r="67" spans="2:2">
      <c r="B67" s="206"/>
    </row>
    <row r="68" spans="2:2">
      <c r="B68" s="206"/>
    </row>
    <row r="69" spans="2:2">
      <c r="B69" s="206"/>
    </row>
    <row r="70" spans="2:2">
      <c r="B70" s="206"/>
    </row>
    <row r="71" spans="2:2">
      <c r="B71" s="206"/>
    </row>
    <row r="72" spans="2:2">
      <c r="B72" s="206"/>
    </row>
    <row r="73" spans="2:2">
      <c r="B73" s="206"/>
    </row>
    <row r="74" spans="2:2">
      <c r="B74" s="206"/>
    </row>
    <row r="75" spans="2:2">
      <c r="B75" s="206"/>
    </row>
    <row r="76" spans="2:2">
      <c r="B76" s="206"/>
    </row>
    <row r="77" spans="2:2">
      <c r="B77" s="206"/>
    </row>
  </sheetData>
  <mergeCells count="10">
    <mergeCell ref="B24:B25"/>
    <mergeCell ref="B16:B17"/>
    <mergeCell ref="D3:F3"/>
    <mergeCell ref="B4:B5"/>
    <mergeCell ref="B7:B8"/>
    <mergeCell ref="B10:B11"/>
    <mergeCell ref="B13:B14"/>
    <mergeCell ref="D4:L4"/>
    <mergeCell ref="D11:J11"/>
    <mergeCell ref="B19:B22"/>
  </mergeCells>
  <hyperlinks>
    <hyperlink ref="B4" location="Overview!A1" display="Overview" xr:uid="{BA8CD724-CD8B-EE44-8BE9-146D9CC85B97}"/>
    <hyperlink ref="B10" location="Inputs!A1" display="Inputs" xr:uid="{10A6C1F8-BA37-AE40-AF88-4FFC543AE8A2}"/>
    <hyperlink ref="B13" location="Model!A1" display="Model" xr:uid="{56FBC9BE-4F42-5045-9FC0-1A62E60BCDA0}"/>
    <hyperlink ref="B16" location="Results!A1" display="Results" xr:uid="{8C01C838-7E81-B445-8AA0-53004D422616}"/>
    <hyperlink ref="B19" location="OWSA!A1" display="One-Way Sensitivity Analysis" xr:uid="{05FAFA86-8794-364A-9049-0249BA6AA70D}"/>
    <hyperlink ref="B7" location="Inputs!A1" display="Inputs" xr:uid="{7BBB8A52-2408-464A-A907-4B1296205715}"/>
    <hyperlink ref="B4:B5" location="Overview!A1" display="Overview" xr:uid="{008F136B-48CD-134F-A699-2C759B12E302}"/>
    <hyperlink ref="B10:B11" location="'Model Inputs'!A1" display="Model Inputs" xr:uid="{7D0EB94A-2F98-3146-912E-A345C0D8800A}"/>
    <hyperlink ref="B7:B8" location="Setting!A1" display="Setting" xr:uid="{9398B5EB-1A4E-6949-903C-5338EA685851}"/>
    <hyperlink ref="B13:B14" location="Model!A1" display="Model" xr:uid="{4F91851F-93B8-DC45-87BC-10AF1CFD5593}"/>
    <hyperlink ref="B24" location="Overview!A1" display="Overview" xr:uid="{925443D3-1A46-C947-97F9-028E061F00D1}"/>
    <hyperlink ref="B24:B25" location="Appendix!A1" display="Appendix" xr:uid="{F0247CF3-9AA3-4B43-AA37-058CC43622A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DB60F-A105-6F47-BD6B-E1FDA8483864}">
  <sheetPr codeName="Sheet16"/>
  <dimension ref="A1:N160"/>
  <sheetViews>
    <sheetView tabSelected="1" zoomScaleNormal="100" workbookViewId="0"/>
  </sheetViews>
  <sheetFormatPr defaultColWidth="10.83203125" defaultRowHeight="18.5"/>
  <cols>
    <col min="1" max="1" width="9.33203125" style="2" customWidth="1"/>
    <col min="2" max="2" width="12.83203125" style="233" customWidth="1"/>
    <col min="3" max="3" width="3.08203125" style="366" customWidth="1"/>
    <col min="4" max="4" width="5.83203125" style="89" customWidth="1"/>
    <col min="5" max="5" width="16.33203125" style="89" customWidth="1"/>
    <col min="6" max="6" width="7" style="89" customWidth="1"/>
    <col min="7" max="7" width="74.08203125" style="2" customWidth="1"/>
    <col min="8" max="8" width="15" style="255" customWidth="1"/>
    <col min="9" max="9" width="12.1640625" style="255" customWidth="1"/>
    <col min="10" max="10" width="32.33203125" style="2" customWidth="1"/>
    <col min="11" max="12" width="22.5" style="2" customWidth="1"/>
    <col min="13" max="13" width="18.83203125" style="2" customWidth="1"/>
    <col min="14" max="16384" width="10.83203125" style="2"/>
  </cols>
  <sheetData>
    <row r="1" spans="1:14">
      <c r="A1" s="255">
        <v>77</v>
      </c>
      <c r="M1" s="6"/>
    </row>
    <row r="2" spans="1:14">
      <c r="D2" s="263"/>
      <c r="E2" s="263" t="s">
        <v>658</v>
      </c>
      <c r="F2" s="263"/>
      <c r="G2" s="6" t="s">
        <v>657</v>
      </c>
      <c r="H2" s="267"/>
      <c r="I2" s="267"/>
      <c r="J2" s="6"/>
      <c r="K2" s="6"/>
      <c r="L2" s="299"/>
      <c r="M2" s="79"/>
      <c r="N2" s="5"/>
    </row>
    <row r="3" spans="1:14">
      <c r="B3" s="236"/>
      <c r="C3" s="367"/>
      <c r="D3" s="599" t="s">
        <v>429</v>
      </c>
      <c r="E3" s="600"/>
      <c r="F3" s="264"/>
      <c r="G3" s="265"/>
      <c r="H3" s="268"/>
      <c r="I3" s="603" t="s">
        <v>430</v>
      </c>
      <c r="J3" s="348" t="s">
        <v>431</v>
      </c>
      <c r="K3" s="349" t="s">
        <v>432</v>
      </c>
      <c r="L3" s="605" t="s">
        <v>433</v>
      </c>
      <c r="M3" s="598"/>
      <c r="N3" s="5"/>
    </row>
    <row r="4" spans="1:14" ht="15.5">
      <c r="B4" s="607" t="s">
        <v>1</v>
      </c>
      <c r="C4" s="367"/>
      <c r="D4" s="601"/>
      <c r="E4" s="602"/>
      <c r="F4" s="266"/>
      <c r="G4" s="17"/>
      <c r="H4" s="269"/>
      <c r="I4" s="604"/>
      <c r="J4" s="350" t="s">
        <v>434</v>
      </c>
      <c r="K4" s="351">
        <f>IF(J4=Appendix!D12, Results!I26, IF(OWSA!J4=Appendix!D13,Results!E9,IF(OWSA!J4=Appendix!D14,Results!F9,IF(OWSA!J4=Appendix!D15,Results!G9,IF(OWSA!J4=Appendix!D16,Results!H9,IF(OWSA!J4=Appendix!D17,Results!I9,IF(OWSA!J4=Appendix!D18,Results!J9,IF(OWSA!J4=Appendix!D19,Results!K9,Results!L9))))))))</f>
        <v>15493449.976642877</v>
      </c>
      <c r="L4" s="606"/>
      <c r="M4" s="598"/>
      <c r="N4" s="5"/>
    </row>
    <row r="5" spans="1:14" ht="15.5">
      <c r="B5" s="607"/>
      <c r="D5" s="79"/>
      <c r="E5" s="79"/>
      <c r="F5" s="79"/>
      <c r="G5" s="4"/>
      <c r="H5" s="270"/>
      <c r="I5" s="270"/>
      <c r="J5" s="4"/>
      <c r="K5" s="4"/>
      <c r="L5" s="12"/>
      <c r="M5" s="79"/>
      <c r="N5" s="5"/>
    </row>
    <row r="6" spans="1:14" s="255" customFormat="1">
      <c r="B6" s="273"/>
      <c r="C6" s="366"/>
      <c r="D6" s="82"/>
      <c r="E6" s="82"/>
      <c r="F6" s="82"/>
      <c r="G6" s="301" t="s">
        <v>435</v>
      </c>
      <c r="H6" s="301" t="s">
        <v>436</v>
      </c>
      <c r="I6" s="301" t="s">
        <v>437</v>
      </c>
      <c r="J6" s="301" t="s">
        <v>438</v>
      </c>
      <c r="K6" s="302" t="s">
        <v>439</v>
      </c>
      <c r="L6" s="303" t="s">
        <v>440</v>
      </c>
      <c r="M6" s="82"/>
      <c r="N6" s="300"/>
    </row>
    <row r="7" spans="1:14" ht="15.5">
      <c r="B7" s="607" t="s">
        <v>5</v>
      </c>
      <c r="C7" s="366">
        <v>31</v>
      </c>
      <c r="D7" s="79"/>
      <c r="E7" s="79"/>
      <c r="F7" s="79"/>
      <c r="G7" s="70" t="str">
        <f>IF($C7&lt;=vars_OWSA,INDEX('Model Inputs'!$D$3:$N$223,MATCH($C7,'Model Inputs'!$D$3:$D$223,0),2),"")</f>
        <v>Lifetime probability of condition-related death without treatment</v>
      </c>
      <c r="H7" s="270">
        <f>IF($C7&lt;=vars_OWSA,INDEX('Model Inputs'!$D$3:$N$223,MATCH($C7,'Model Inputs'!$D$3:$D$223),7),"")</f>
        <v>6.1999999999999998E-3</v>
      </c>
      <c r="I7" s="270">
        <f>IF($C7&lt;=vars_OWSA,INDEX('Model Inputs'!$D$3:$N$223,MATCH($C7,'Model Inputs'!$D$3:$D$223),8),"")</f>
        <v>1.29E-2</v>
      </c>
      <c r="J7" s="4">
        <v>9959728.9270761907</v>
      </c>
      <c r="K7" s="4">
        <v>23201132.867110759</v>
      </c>
      <c r="L7" s="445">
        <f t="shared" ref="L7:L38" si="0">IF(C7&lt;=vars_OWSA,ABS(K7-J7),0)</f>
        <v>13241403.940034568</v>
      </c>
      <c r="M7" s="16"/>
    </row>
    <row r="8" spans="1:14" ht="15.5">
      <c r="B8" s="607"/>
      <c r="C8" s="366">
        <v>13</v>
      </c>
      <c r="D8" s="79"/>
      <c r="E8" s="79"/>
      <c r="F8" s="79"/>
      <c r="G8" s="70" t="str">
        <f>IF($C8&lt;=vars_OWSA,INDEX('Model Inputs'!$D$3:$N$223,MATCH($C8,'Model Inputs'!$D$3:$D$223,0),2),"")</f>
        <v>Proportion of  Substandard and Falsified Medicines 3 in the Real-world Scenario</v>
      </c>
      <c r="H8" s="270">
        <f>IF($C8&lt;=vars_OWSA,INDEX('Model Inputs'!$D$3:$N$223,MATCH($C8,'Model Inputs'!$D$3:$D$223),7),"")</f>
        <v>0</v>
      </c>
      <c r="I8" s="270">
        <f>IF($C8&lt;=vars_OWSA,INDEX('Model Inputs'!$D$3:$N$223,MATCH($C8,'Model Inputs'!$D$3:$D$223),8),"")</f>
        <v>0.08</v>
      </c>
      <c r="J8" s="2">
        <v>6075862.7359384075</v>
      </c>
      <c r="K8" s="2">
        <v>18227588.20781517</v>
      </c>
      <c r="L8" s="445">
        <f t="shared" si="0"/>
        <v>12151725.471876763</v>
      </c>
      <c r="M8" s="5"/>
    </row>
    <row r="9" spans="1:14">
      <c r="B9" s="236"/>
      <c r="C9" s="366">
        <v>11</v>
      </c>
      <c r="D9" s="79"/>
      <c r="E9" s="79"/>
      <c r="F9" s="79"/>
      <c r="G9" s="70" t="str">
        <f>IF($C9&lt;=vars_OWSA,INDEX('Model Inputs'!$D$3:$N$223,MATCH($C9,'Model Inputs'!$D$3:$D$223,0),2),"")</f>
        <v>Proportion of Substandard and Falsified Medicines 1 in the Real-world Scenario</v>
      </c>
      <c r="H9" s="270">
        <f>IF($C9&lt;=vars_OWSA,INDEX('Model Inputs'!$D$3:$N$223,MATCH($C9,'Model Inputs'!$D$3:$D$223),7),"")</f>
        <v>0</v>
      </c>
      <c r="I9" s="270">
        <f>IF($C9&lt;=vars_OWSA,INDEX('Model Inputs'!$D$3:$N$223,MATCH($C9,'Model Inputs'!$D$3:$D$223),8),"")</f>
        <v>0.15</v>
      </c>
      <c r="J9" s="2">
        <v>9417587.2407044694</v>
      </c>
      <c r="K9" s="2">
        <v>18531381.344612088</v>
      </c>
      <c r="L9" s="445">
        <f t="shared" si="0"/>
        <v>9113794.1039076187</v>
      </c>
      <c r="M9" s="5"/>
    </row>
    <row r="10" spans="1:14" ht="15.5">
      <c r="B10" s="607" t="s">
        <v>8</v>
      </c>
      <c r="C10" s="366">
        <v>30</v>
      </c>
      <c r="D10" s="79"/>
      <c r="E10" s="79"/>
      <c r="F10" s="79"/>
      <c r="G10" s="70" t="str">
        <f>IF($C10&lt;=vars_OWSA,INDEX('Model Inputs'!$D$3:$N$223,MATCH($C10,'Model Inputs'!$D$3:$D$223,0),2),"")</f>
        <v>Lifetime probability of condition-related death with treatment</v>
      </c>
      <c r="H10" s="270">
        <f>IF($C10&lt;=vars_OWSA,INDEX('Model Inputs'!$D$3:$N$223,MATCH($C10,'Model Inputs'!$D$3:$D$223),7),"")</f>
        <v>1.6000000000000001E-3</v>
      </c>
      <c r="I10" s="270">
        <f>IF($C10&lt;=vars_OWSA,INDEX('Model Inputs'!$D$3:$N$223,MATCH($C10,'Model Inputs'!$D$3:$D$223),8),"")</f>
        <v>5.8999999999999999E-3</v>
      </c>
      <c r="J10" s="2">
        <v>18260310.50142625</v>
      </c>
      <c r="K10" s="2">
        <v>9762096.0324487984</v>
      </c>
      <c r="L10" s="445">
        <f t="shared" si="0"/>
        <v>8498214.4689774513</v>
      </c>
      <c r="M10" s="5"/>
    </row>
    <row r="11" spans="1:14" ht="15.5">
      <c r="B11" s="607"/>
      <c r="C11" s="366">
        <v>57</v>
      </c>
      <c r="D11" s="79"/>
      <c r="E11" s="79"/>
      <c r="F11" s="79"/>
      <c r="G11" s="70" t="str">
        <f>IF($C11&lt;=vars_OWSA,INDEX('Model Inputs'!$D$3:$N$223,MATCH($C11,'Model Inputs'!$D$3:$D$223,0),2),"")</f>
        <v>Average Unit Cost of severe pneumonia Management</v>
      </c>
      <c r="H11" s="270">
        <f>IF($C11&lt;=vars_OWSA,INDEX('Model Inputs'!$D$3:$N$223,MATCH($C11,'Model Inputs'!$D$3:$D$223),7),"")</f>
        <v>95.23</v>
      </c>
      <c r="I11" s="270">
        <f>IF($C11&lt;=vars_OWSA,INDEX('Model Inputs'!$D$3:$N$223,MATCH($C11,'Model Inputs'!$D$3:$D$223),8),"")</f>
        <v>963.88</v>
      </c>
      <c r="J11" s="2">
        <v>14587616.026642878</v>
      </c>
      <c r="K11" s="2">
        <v>19394290.801642872</v>
      </c>
      <c r="L11" s="445">
        <f t="shared" si="0"/>
        <v>4806674.7749999948</v>
      </c>
      <c r="M11" s="5"/>
    </row>
    <row r="12" spans="1:14">
      <c r="B12" s="236"/>
      <c r="C12" s="366">
        <v>64</v>
      </c>
      <c r="D12" s="79"/>
      <c r="E12" s="79"/>
      <c r="F12" s="79"/>
      <c r="G12" s="70" t="str">
        <f>IF($C12&lt;=vars_OWSA,INDEX('Model Inputs'!$D$3:$N$223,MATCH($C12,'Model Inputs'!$D$3:$D$223,0),2),"")</f>
        <v>Proportion of  Substandard and Falsified Medicines 3 at Public Hospitals in the Real-world Scenario</v>
      </c>
      <c r="H12" s="270">
        <f>IF($C12&lt;=vars_OWSA,INDEX('Model Inputs'!$D$3:$N$223,MATCH($C12,'Model Inputs'!$D$3:$D$223),7),"")</f>
        <v>0</v>
      </c>
      <c r="I12" s="270">
        <f>IF($C12&lt;=vars_OWSA,INDEX('Model Inputs'!$D$3:$N$223,MATCH($C12,'Model Inputs'!$D$3:$D$223),8),"")</f>
        <v>0.08</v>
      </c>
      <c r="J12" s="2">
        <v>13139053.166466743</v>
      </c>
      <c r="K12" s="2">
        <v>16176984.53443595</v>
      </c>
      <c r="L12" s="445">
        <f t="shared" si="0"/>
        <v>3037931.3679692075</v>
      </c>
      <c r="M12" s="5"/>
    </row>
    <row r="13" spans="1:14" ht="15.5">
      <c r="B13" s="607" t="s">
        <v>12</v>
      </c>
      <c r="C13" s="366">
        <v>68</v>
      </c>
      <c r="D13" s="79"/>
      <c r="E13" s="79"/>
      <c r="F13" s="79"/>
      <c r="G13" s="70" t="str">
        <f>IF($C13&lt;=vars_OWSA,INDEX('Model Inputs'!$D$3:$N$223,MATCH($C13,'Model Inputs'!$D$3:$D$223,0),2),"")</f>
        <v>Proportion of  Substandard and Falsified Medicines 3 at Public Health Centers in the Real-world Scenario</v>
      </c>
      <c r="H13" s="270">
        <f>IF($C13&lt;=vars_OWSA,INDEX('Model Inputs'!$D$3:$N$223,MATCH($C13,'Model Inputs'!$D$3:$D$223),7),"")</f>
        <v>0</v>
      </c>
      <c r="I13" s="270">
        <f>IF($C13&lt;=vars_OWSA,INDEX('Model Inputs'!$D$3:$N$223,MATCH($C13,'Model Inputs'!$D$3:$D$223),8),"")</f>
        <v>0.08</v>
      </c>
      <c r="J13" s="2">
        <v>13139053.166466743</v>
      </c>
      <c r="K13" s="2">
        <v>16176984.534435946</v>
      </c>
      <c r="L13" s="445">
        <f t="shared" si="0"/>
        <v>3037931.3679692037</v>
      </c>
      <c r="M13" s="5"/>
    </row>
    <row r="14" spans="1:14" ht="15.5">
      <c r="B14" s="607"/>
      <c r="C14" s="366">
        <v>62</v>
      </c>
      <c r="D14" s="79"/>
      <c r="E14" s="79"/>
      <c r="F14" s="79"/>
      <c r="G14" s="70" t="str">
        <f>IF($C14&lt;=vars_OWSA,INDEX('Model Inputs'!$D$3:$N$223,MATCH($C14,'Model Inputs'!$D$3:$D$223,0),2),"")</f>
        <v>Proportion of  Substandard and Falsified Medicines 1 at Public Hospitals in  the Real-world Scenario</v>
      </c>
      <c r="H14" s="270">
        <f>IF($C14&lt;=vars_OWSA,INDEX('Model Inputs'!$D$3:$N$223,MATCH($C14,'Model Inputs'!$D$3:$D$223),7),"")</f>
        <v>0</v>
      </c>
      <c r="I14" s="270">
        <f>IF($C14&lt;=vars_OWSA,INDEX('Model Inputs'!$D$3:$N$223,MATCH($C14,'Model Inputs'!$D$3:$D$223),8),"")</f>
        <v>0.15</v>
      </c>
      <c r="J14" s="2">
        <v>13974484.292658307</v>
      </c>
      <c r="K14" s="2">
        <v>16252932.818635192</v>
      </c>
      <c r="L14" s="445">
        <f t="shared" si="0"/>
        <v>2278448.5259768851</v>
      </c>
      <c r="M14" s="5"/>
    </row>
    <row r="15" spans="1:14">
      <c r="B15" s="236"/>
      <c r="C15" s="366">
        <v>66</v>
      </c>
      <c r="D15" s="79"/>
      <c r="E15" s="79"/>
      <c r="F15" s="79"/>
      <c r="G15" s="70" t="str">
        <f>IF($C15&lt;=vars_OWSA,INDEX('Model Inputs'!$D$3:$N$223,MATCH($C15,'Model Inputs'!$D$3:$D$223,0),2),"")</f>
        <v>Proportion of Substandard and Falsified Medicines 1 at Public Health Centers in  the Real-world Scenario</v>
      </c>
      <c r="H15" s="270">
        <f>IF($C15&lt;=vars_OWSA,INDEX('Model Inputs'!$D$3:$N$223,MATCH($C15,'Model Inputs'!$D$3:$D$223),7),"")</f>
        <v>0</v>
      </c>
      <c r="I15" s="270">
        <f>IF($C15&lt;=vars_OWSA,INDEX('Model Inputs'!$D$3:$N$223,MATCH($C15,'Model Inputs'!$D$3:$D$223),8),"")</f>
        <v>0.15</v>
      </c>
      <c r="J15" s="2">
        <v>13974484.292658307</v>
      </c>
      <c r="K15" s="2">
        <v>16252932.818635192</v>
      </c>
      <c r="L15" s="445">
        <f t="shared" si="0"/>
        <v>2278448.5259768851</v>
      </c>
      <c r="M15" s="5"/>
    </row>
    <row r="16" spans="1:14" ht="15.5">
      <c r="B16" s="607" t="s">
        <v>15</v>
      </c>
      <c r="C16" s="366">
        <v>35</v>
      </c>
      <c r="D16" s="79"/>
      <c r="E16" s="79"/>
      <c r="F16" s="79"/>
      <c r="G16" s="70" t="str">
        <f>IF($C16&lt;=vars_OWSA,INDEX('Model Inputs'!$D$3:$N$223,MATCH($C16,'Model Inputs'!$D$3:$D$223,0),2),"")</f>
        <v>Probability of very severe pneumonia without treatment</v>
      </c>
      <c r="H16" s="270">
        <f>IF($C16&lt;=vars_OWSA,INDEX('Model Inputs'!$D$3:$N$223,MATCH($C16,'Model Inputs'!$D$3:$D$223),7),"")</f>
        <v>6.4000000000000001E-2</v>
      </c>
      <c r="I16" s="270">
        <f>IF($C16&lt;=vars_OWSA,INDEX('Model Inputs'!$D$3:$N$223,MATCH($C16,'Model Inputs'!$D$3:$D$223),8),"")</f>
        <v>0.13200000000000001</v>
      </c>
      <c r="J16" s="2">
        <v>14591450.920642879</v>
      </c>
      <c r="K16" s="2">
        <v>16782020.056642875</v>
      </c>
      <c r="L16" s="445">
        <f t="shared" si="0"/>
        <v>2190569.1359999962</v>
      </c>
      <c r="M16" s="5"/>
    </row>
    <row r="17" spans="1:13" ht="15.5">
      <c r="B17" s="607"/>
      <c r="C17" s="366">
        <v>80</v>
      </c>
      <c r="D17" s="79"/>
      <c r="E17" s="79"/>
      <c r="F17" s="79"/>
      <c r="G17" s="70" t="str">
        <f>IF($C17&lt;=vars_OWSA,INDEX('Model Inputs'!$D$3:$N$223,MATCH($C17,'Model Inputs'!$D$3:$D$223,0),2),"")</f>
        <v>Proportion of  Substandard and Falsified Medicines 3 at Private "Other Locations" in the  Real-world Scenario</v>
      </c>
      <c r="H17" s="270">
        <f>IF($C17&lt;=vars_OWSA,INDEX('Model Inputs'!$D$3:$N$223,MATCH($C17,'Model Inputs'!$D$3:$D$223),7),"")</f>
        <v>0</v>
      </c>
      <c r="I17" s="270">
        <f>IF($C17&lt;=vars_OWSA,INDEX('Model Inputs'!$D$3:$N$223,MATCH($C17,'Model Inputs'!$D$3:$D$223),8),"")</f>
        <v>0.08</v>
      </c>
      <c r="J17" s="2">
        <v>13923852.103192121</v>
      </c>
      <c r="K17" s="2">
        <v>15949139.681838281</v>
      </c>
      <c r="L17" s="445">
        <f t="shared" si="0"/>
        <v>2025287.5786461607</v>
      </c>
      <c r="M17" s="5"/>
    </row>
    <row r="18" spans="1:13">
      <c r="B18" s="234"/>
      <c r="C18" s="366">
        <v>72</v>
      </c>
      <c r="D18" s="79"/>
      <c r="E18" s="79"/>
      <c r="F18" s="79"/>
      <c r="G18" s="70" t="str">
        <f>IF($C18&lt;=vars_OWSA,INDEX('Model Inputs'!$D$3:$N$223,MATCH($C18,'Model Inputs'!$D$3:$D$223,0),2),"")</f>
        <v>Proportion of   Substandard and Falsified Medicines 3 at Private Hospitals in the  Real-world Scenario</v>
      </c>
      <c r="H18" s="270">
        <f>IF($C18&lt;=vars_OWSA,INDEX('Model Inputs'!$D$3:$N$223,MATCH($C18,'Model Inputs'!$D$3:$D$223),7),"")</f>
        <v>0</v>
      </c>
      <c r="I18" s="270">
        <f>IF($C18&lt;=vars_OWSA,INDEX('Model Inputs'!$D$3:$N$223,MATCH($C18,'Model Inputs'!$D$3:$D$223),8),"")</f>
        <v>0.08</v>
      </c>
      <c r="J18" s="2">
        <v>13923852.103192125</v>
      </c>
      <c r="K18" s="2">
        <v>15949139.681838281</v>
      </c>
      <c r="L18" s="445">
        <f t="shared" si="0"/>
        <v>2025287.5786461569</v>
      </c>
      <c r="M18" s="5"/>
    </row>
    <row r="19" spans="1:13" ht="15" customHeight="1">
      <c r="A19" s="8"/>
      <c r="B19" s="608" t="s">
        <v>18</v>
      </c>
      <c r="C19" s="368">
        <v>76</v>
      </c>
      <c r="D19" s="79"/>
      <c r="E19" s="79"/>
      <c r="F19" s="79"/>
      <c r="G19" s="70" t="str">
        <f>IF($C19&lt;=vars_OWSA,INDEX('Model Inputs'!$D$3:$N$223,MATCH($C19,'Model Inputs'!$D$3:$D$223,0),2),"")</f>
        <v>Proportion of   Substandard and Falsified Medicines 3 at Private Pharmacies in the  Real-world Scenario</v>
      </c>
      <c r="H19" s="270">
        <f>IF($C19&lt;=vars_OWSA,INDEX('Model Inputs'!$D$3:$N$223,MATCH($C19,'Model Inputs'!$D$3:$D$223),7),"")</f>
        <v>0</v>
      </c>
      <c r="I19" s="270">
        <f>IF($C19&lt;=vars_OWSA,INDEX('Model Inputs'!$D$3:$N$223,MATCH($C19,'Model Inputs'!$D$3:$D$223),8),"")</f>
        <v>0.08</v>
      </c>
      <c r="J19" s="2">
        <v>13923852.103192125</v>
      </c>
      <c r="K19" s="2">
        <v>15949139.681838281</v>
      </c>
      <c r="L19" s="445">
        <f t="shared" si="0"/>
        <v>2025287.5786461569</v>
      </c>
      <c r="M19" s="5"/>
    </row>
    <row r="20" spans="1:13" ht="19" customHeight="1">
      <c r="A20" s="8"/>
      <c r="B20" s="609"/>
      <c r="C20" s="368">
        <v>33</v>
      </c>
      <c r="D20" s="79"/>
      <c r="E20" s="79"/>
      <c r="F20" s="79"/>
      <c r="G20" s="70" t="str">
        <f>IF($C20&lt;=vars_OWSA,INDEX('Model Inputs'!$D$3:$N$223,MATCH($C20,'Model Inputs'!$D$3:$D$223,0),2),"")</f>
        <v>Probability of severe pneumonia without treatment</v>
      </c>
      <c r="H20" s="270">
        <f>IF($C20&lt;=vars_OWSA,INDEX('Model Inputs'!$D$3:$N$223,MATCH($C20,'Model Inputs'!$D$3:$D$223),7),"")</f>
        <v>0.16</v>
      </c>
      <c r="I20" s="270">
        <f>IF($C20&lt;=vars_OWSA,INDEX('Model Inputs'!$D$3:$N$223,MATCH($C20,'Model Inputs'!$D$3:$D$223),8),"")</f>
        <v>0.33</v>
      </c>
      <c r="J20" s="2">
        <v>14753621.026642881</v>
      </c>
      <c r="K20" s="2">
        <v>16550348.476642877</v>
      </c>
      <c r="L20" s="445">
        <f t="shared" si="0"/>
        <v>1796727.4499999955</v>
      </c>
      <c r="M20" s="5"/>
    </row>
    <row r="21" spans="1:13" ht="19" customHeight="1">
      <c r="A21" s="8"/>
      <c r="B21" s="609"/>
      <c r="C21" s="368">
        <v>70</v>
      </c>
      <c r="D21" s="79"/>
      <c r="E21" s="79"/>
      <c r="F21" s="79"/>
      <c r="G21" s="70" t="str">
        <f>IF($C21&lt;=vars_OWSA,INDEX('Model Inputs'!$D$3:$N$223,MATCH($C21,'Model Inputs'!$D$3:$D$223,0),2),"")</f>
        <v>Proportion of Substandard and Falsified Medicines 1 at Private Hospitals in  the  Real-world Scenario</v>
      </c>
      <c r="H21" s="270">
        <f>IF($C21&lt;=vars_OWSA,INDEX('Model Inputs'!$D$3:$N$223,MATCH($C21,'Model Inputs'!$D$3:$D$223),7),"")</f>
        <v>0</v>
      </c>
      <c r="I21" s="270">
        <f>IF($C21&lt;=vars_OWSA,INDEX('Model Inputs'!$D$3:$N$223,MATCH($C21,'Model Inputs'!$D$3:$D$223),8),"")</f>
        <v>0.15</v>
      </c>
      <c r="J21" s="2">
        <v>14480806.187319826</v>
      </c>
      <c r="K21" s="2">
        <v>15999771.8713044</v>
      </c>
      <c r="L21" s="445">
        <f t="shared" si="0"/>
        <v>1518965.6839845739</v>
      </c>
      <c r="M21" s="5"/>
    </row>
    <row r="22" spans="1:13" ht="19" customHeight="1">
      <c r="A22" s="8"/>
      <c r="B22" s="610"/>
      <c r="C22" s="368">
        <v>74</v>
      </c>
      <c r="D22" s="79"/>
      <c r="E22" s="79"/>
      <c r="F22" s="79"/>
      <c r="G22" s="70" t="str">
        <f>IF($C22&lt;=vars_OWSA,INDEX('Model Inputs'!$D$3:$N$223,MATCH($C22,'Model Inputs'!$D$3:$D$223,0),2),"")</f>
        <v>Proportion of Substandard and Falsified Medicines 1 at Private Pharmacies in  the  Real-world Scenario</v>
      </c>
      <c r="H22" s="270">
        <f>IF($C22&lt;=vars_OWSA,INDEX('Model Inputs'!$D$3:$N$223,MATCH($C22,'Model Inputs'!$D$3:$D$223),7),"")</f>
        <v>0</v>
      </c>
      <c r="I22" s="270">
        <f>IF($C22&lt;=vars_OWSA,INDEX('Model Inputs'!$D$3:$N$223,MATCH($C22,'Model Inputs'!$D$3:$D$223),8),"")</f>
        <v>0.15</v>
      </c>
      <c r="J22" s="2">
        <v>14480806.187319826</v>
      </c>
      <c r="K22" s="2">
        <v>15999771.8713044</v>
      </c>
      <c r="L22" s="445">
        <f t="shared" si="0"/>
        <v>1518965.6839845739</v>
      </c>
      <c r="M22" s="5"/>
    </row>
    <row r="23" spans="1:13">
      <c r="B23" s="251"/>
      <c r="C23" s="366">
        <v>78</v>
      </c>
      <c r="D23" s="79"/>
      <c r="E23" s="79"/>
      <c r="F23" s="79"/>
      <c r="G23" s="70" t="str">
        <f>IF($C23&lt;=vars_OWSA,INDEX('Model Inputs'!$D$3:$N$223,MATCH($C23,'Model Inputs'!$D$3:$D$223,0),2),"")</f>
        <v>Proportion of Substandard and Falsified Medicines 1 at Private "Other Locations"  in  the  Real-world Scenario</v>
      </c>
      <c r="H23" s="270">
        <f>IF($C23&lt;=vars_OWSA,INDEX('Model Inputs'!$D$3:$N$223,MATCH($C23,'Model Inputs'!$D$3:$D$223),7),"")</f>
        <v>0</v>
      </c>
      <c r="I23" s="270">
        <f>IF($C23&lt;=vars_OWSA,INDEX('Model Inputs'!$D$3:$N$223,MATCH($C23,'Model Inputs'!$D$3:$D$223),8),"")</f>
        <v>0.15</v>
      </c>
      <c r="J23" s="2">
        <v>14480806.187319826</v>
      </c>
      <c r="K23" s="2">
        <v>15999771.8713044</v>
      </c>
      <c r="L23" s="445">
        <f t="shared" si="0"/>
        <v>1518965.6839845739</v>
      </c>
      <c r="M23" s="5"/>
    </row>
    <row r="24" spans="1:13" ht="15.5">
      <c r="B24" s="543" t="s">
        <v>29</v>
      </c>
      <c r="C24" s="366">
        <v>34</v>
      </c>
      <c r="D24" s="79"/>
      <c r="E24" s="79"/>
      <c r="F24" s="79"/>
      <c r="G24" s="70" t="str">
        <f>IF($C24&lt;=vars_OWSA,INDEX('Model Inputs'!$D$3:$N$223,MATCH($C24,'Model Inputs'!$D$3:$D$223,0),2),"")</f>
        <v>Probability of very severe pneumonia with treatment</v>
      </c>
      <c r="H24" s="270">
        <f>IF($C24&lt;=vars_OWSA,INDEX('Model Inputs'!$D$3:$N$223,MATCH($C24,'Model Inputs'!$D$3:$D$223),7),"")</f>
        <v>1.6E-2</v>
      </c>
      <c r="I24" s="270">
        <f>IF($C24&lt;=vars_OWSA,INDEX('Model Inputs'!$D$3:$N$223,MATCH($C24,'Model Inputs'!$D$3:$D$223),8),"")</f>
        <v>0.06</v>
      </c>
      <c r="J24" s="2">
        <v>15944449.504642878</v>
      </c>
      <c r="K24" s="2">
        <v>14527022.416642874</v>
      </c>
      <c r="L24" s="445">
        <f t="shared" si="0"/>
        <v>1417427.0880000032</v>
      </c>
      <c r="M24" s="5"/>
    </row>
    <row r="25" spans="1:13" ht="15.5">
      <c r="B25" s="544"/>
      <c r="C25" s="366">
        <v>32</v>
      </c>
      <c r="D25" s="79"/>
      <c r="E25" s="79"/>
      <c r="F25" s="79"/>
      <c r="G25" s="70" t="str">
        <f>IF($C25&lt;=vars_OWSA,INDEX('Model Inputs'!$D$3:$N$223,MATCH($C25,'Model Inputs'!$D$3:$D$223,0),2),"")</f>
        <v>Probability of severe pneumonia with treatment</v>
      </c>
      <c r="H25" s="270">
        <f>IF($C25&lt;=vars_OWSA,INDEX('Model Inputs'!$D$3:$N$223,MATCH($C25,'Model Inputs'!$D$3:$D$223),7),"")</f>
        <v>0.04</v>
      </c>
      <c r="I25" s="270">
        <f>IF($C25&lt;=vars_OWSA,INDEX('Model Inputs'!$D$3:$N$223,MATCH($C25,'Model Inputs'!$D$3:$D$223),8),"")</f>
        <v>0.15</v>
      </c>
      <c r="J25" s="2">
        <v>15863364.451642878</v>
      </c>
      <c r="K25" s="2">
        <v>14700776.101642877</v>
      </c>
      <c r="L25" s="445">
        <f t="shared" si="0"/>
        <v>1162588.3500000015</v>
      </c>
      <c r="M25" s="5"/>
    </row>
    <row r="26" spans="1:13">
      <c r="B26" s="237"/>
      <c r="C26" s="366">
        <v>61</v>
      </c>
      <c r="D26" s="79"/>
      <c r="E26" s="79"/>
      <c r="F26" s="79"/>
      <c r="G26" s="70" t="str">
        <f>IF($C26&lt;=vars_OWSA,INDEX('Model Inputs'!$D$3:$N$223,MATCH($C26,'Model Inputs'!$D$3:$D$223,0),2),"")</f>
        <v xml:space="preserve">Median Daily Wage Rate in </v>
      </c>
      <c r="H26" s="270">
        <f>IF($C26&lt;=vars_OWSA,INDEX('Model Inputs'!$D$3:$N$223,MATCH($C26,'Model Inputs'!$D$3:$D$223),7),"")</f>
        <v>0.66</v>
      </c>
      <c r="I26" s="270">
        <f>IF($C26&lt;=vars_OWSA,INDEX('Model Inputs'!$D$3:$N$223,MATCH($C26,'Model Inputs'!$D$3:$D$223),8),"")</f>
        <v>20.63</v>
      </c>
      <c r="J26" s="2">
        <v>15206752.701442879</v>
      </c>
      <c r="K26" s="2">
        <v>16320632.971042879</v>
      </c>
      <c r="L26" s="445">
        <f t="shared" si="0"/>
        <v>1113880.2696000002</v>
      </c>
      <c r="M26" s="5"/>
    </row>
    <row r="27" spans="1:13">
      <c r="B27" s="237"/>
      <c r="C27" s="366">
        <v>41</v>
      </c>
      <c r="D27" s="79"/>
      <c r="E27" s="79"/>
      <c r="F27" s="79"/>
      <c r="G27" s="70" t="str">
        <f>IF($C27&lt;=vars_OWSA,INDEX('Model Inputs'!$D$3:$N$223,MATCH($C27,'Model Inputs'!$D$3:$D$223,0),2),"")</f>
        <v>Number of sick days due to severe pneumonia without treatment</v>
      </c>
      <c r="H27" s="270">
        <f>IF($C27&lt;=vars_OWSA,INDEX('Model Inputs'!$D$3:$N$223,MATCH($C27,'Model Inputs'!$D$3:$D$223),7),"")</f>
        <v>4.0999999999999996</v>
      </c>
      <c r="I27" s="270">
        <f>IF($C27&lt;=vars_OWSA,INDEX('Model Inputs'!$D$3:$N$223,MATCH($C27,'Model Inputs'!$D$3:$D$223),8),"")</f>
        <v>7.1</v>
      </c>
      <c r="J27" s="2">
        <v>15401283.916642878</v>
      </c>
      <c r="K27" s="2">
        <v>15521500.516642876</v>
      </c>
      <c r="L27" s="445">
        <f t="shared" si="0"/>
        <v>120216.59999999776</v>
      </c>
      <c r="M27" s="5"/>
    </row>
    <row r="28" spans="1:13">
      <c r="B28" s="237"/>
      <c r="C28" s="366">
        <v>43</v>
      </c>
      <c r="D28" s="79"/>
      <c r="E28" s="79"/>
      <c r="F28" s="79"/>
      <c r="G28" s="70" t="str">
        <f>IF($C28&lt;=vars_OWSA,INDEX('Model Inputs'!$D$3:$N$223,MATCH($C28,'Model Inputs'!$D$3:$D$223,0),2),"")</f>
        <v>Number of sick days due to very severe pneumonia without treatment</v>
      </c>
      <c r="H28" s="270">
        <f>IF($C28&lt;=vars_OWSA,INDEX('Model Inputs'!$D$3:$N$223,MATCH($C28,'Model Inputs'!$D$3:$D$223),7),"")</f>
        <v>6.1</v>
      </c>
      <c r="I28" s="270">
        <f>IF($C28&lt;=vars_OWSA,INDEX('Model Inputs'!$D$3:$N$223,MATCH($C28,'Model Inputs'!$D$3:$D$223),8),"")</f>
        <v>12.6</v>
      </c>
      <c r="J28" s="2">
        <v>15443760.448642876</v>
      </c>
      <c r="K28" s="2">
        <v>15547948.168642879</v>
      </c>
      <c r="L28" s="445">
        <f t="shared" si="0"/>
        <v>104187.72000000253</v>
      </c>
      <c r="M28" s="5"/>
    </row>
    <row r="29" spans="1:13">
      <c r="B29" s="237"/>
      <c r="C29" s="366">
        <v>40</v>
      </c>
      <c r="D29" s="79"/>
      <c r="E29" s="79"/>
      <c r="F29" s="79"/>
      <c r="G29" s="70" t="str">
        <f>IF($C29&lt;=vars_OWSA,INDEX('Model Inputs'!$D$3:$N$223,MATCH($C29,'Model Inputs'!$D$3:$D$223,0),2),"")</f>
        <v>Number of sick days due to severe pneumonia with treatment</v>
      </c>
      <c r="H29" s="270">
        <f>IF($C29&lt;=vars_OWSA,INDEX('Model Inputs'!$D$3:$N$223,MATCH($C29,'Model Inputs'!$D$3:$D$223),7),"")</f>
        <v>4.0999999999999996</v>
      </c>
      <c r="I29" s="270">
        <f>IF($C29&lt;=vars_OWSA,INDEX('Model Inputs'!$D$3:$N$223,MATCH($C29,'Model Inputs'!$D$3:$D$223),8),"")</f>
        <v>7.1</v>
      </c>
      <c r="J29" s="2">
        <v>15511799.146642879</v>
      </c>
      <c r="K29" s="2">
        <v>15487865.446642876</v>
      </c>
      <c r="L29" s="445">
        <f t="shared" si="0"/>
        <v>23933.70000000298</v>
      </c>
      <c r="M29" s="5"/>
    </row>
    <row r="30" spans="1:13">
      <c r="B30" s="237"/>
      <c r="C30" s="366">
        <v>42</v>
      </c>
      <c r="D30" s="79"/>
      <c r="E30" s="79"/>
      <c r="F30" s="79"/>
      <c r="G30" s="70" t="str">
        <f>IF($C30&lt;=vars_OWSA,INDEX('Model Inputs'!$D$3:$N$223,MATCH($C30,'Model Inputs'!$D$3:$D$223,0),2),"")</f>
        <v>Number of sick days due to very severe pneumonia with treatment</v>
      </c>
      <c r="H30" s="270">
        <f>IF($C30&lt;=vars_OWSA,INDEX('Model Inputs'!$D$3:$N$223,MATCH($C30,'Model Inputs'!$D$3:$D$223),7),"")</f>
        <v>6.1</v>
      </c>
      <c r="I30" s="270">
        <f>IF($C30&lt;=vars_OWSA,INDEX('Model Inputs'!$D$3:$N$223,MATCH($C30,'Model Inputs'!$D$3:$D$223),8),"")</f>
        <v>12.6</v>
      </c>
      <c r="J30" s="2">
        <v>15503342.572642878</v>
      </c>
      <c r="K30" s="2">
        <v>15482600.032642879</v>
      </c>
      <c r="L30" s="445">
        <f t="shared" si="0"/>
        <v>20742.539999999106</v>
      </c>
      <c r="M30" s="5"/>
    </row>
    <row r="31" spans="1:13">
      <c r="B31" s="237"/>
      <c r="C31" s="366">
        <v>1</v>
      </c>
      <c r="D31" s="79"/>
      <c r="E31" s="79"/>
      <c r="F31" s="79"/>
      <c r="G31" s="70" t="str">
        <f>IF($C31&lt;=vars_OWSA,INDEX('Model Inputs'!$D$3:$N$223,MATCH($C31,'Model Inputs'!$D$3:$D$223,0),2),"")</f>
        <v>Population Eligible</v>
      </c>
      <c r="H31" s="270">
        <f>IF($C31&lt;=vars_OWSA,INDEX('Model Inputs'!$D$3:$N$223,MATCH($C31,'Model Inputs'!$D$3:$D$223),7),"")</f>
        <v>0</v>
      </c>
      <c r="I31" s="270">
        <f>IF($C31&lt;=vars_OWSA,INDEX('Model Inputs'!$D$3:$N$223,MATCH($C31,'Model Inputs'!$D$3:$D$223),8),"")</f>
        <v>0</v>
      </c>
      <c r="J31" s="2">
        <v>0</v>
      </c>
      <c r="K31" s="2">
        <v>0</v>
      </c>
      <c r="L31" s="445">
        <f t="shared" si="0"/>
        <v>0</v>
      </c>
      <c r="M31" s="5"/>
    </row>
    <row r="32" spans="1:13">
      <c r="B32" s="237"/>
      <c r="C32" s="366">
        <v>2</v>
      </c>
      <c r="D32" s="79"/>
      <c r="E32" s="79"/>
      <c r="F32" s="79"/>
      <c r="G32" s="70" t="str">
        <f>IF($C32&lt;=vars_OWSA,INDEX('Model Inputs'!$D$3:$N$223,MATCH($C32,'Model Inputs'!$D$3:$D$223,0),2),"")</f>
        <v>Percentage of Population that seeks care and receives treatment</v>
      </c>
      <c r="H32" s="270">
        <f>IF($C32&lt;=vars_OWSA,INDEX('Model Inputs'!$D$3:$N$223,MATCH($C32,'Model Inputs'!$D$3:$D$223),7),"")</f>
        <v>0</v>
      </c>
      <c r="I32" s="270">
        <f>IF($C32&lt;=vars_OWSA,INDEX('Model Inputs'!$D$3:$N$223,MATCH($C32,'Model Inputs'!$D$3:$D$223),8),"")</f>
        <v>0</v>
      </c>
      <c r="J32" s="2">
        <v>0</v>
      </c>
      <c r="K32" s="2">
        <v>0</v>
      </c>
      <c r="L32" s="445">
        <f t="shared" si="0"/>
        <v>0</v>
      </c>
      <c r="M32" s="5"/>
    </row>
    <row r="33" spans="2:13">
      <c r="B33" s="237"/>
      <c r="C33" s="366">
        <v>3</v>
      </c>
      <c r="D33" s="79"/>
      <c r="E33" s="79"/>
      <c r="F33" s="79"/>
      <c r="G33" s="70" t="str">
        <f>IF($C33&lt;=vars_OWSA,INDEX('Model Inputs'!$D$3:$N$223,MATCH($C33,'Model Inputs'!$D$3:$D$223,0),2),"")</f>
        <v>Percentage of Population that receives care in the Public Sector</v>
      </c>
      <c r="H33" s="270">
        <f>IF($C33&lt;=vars_OWSA,INDEX('Model Inputs'!$D$3:$N$223,MATCH($C33,'Model Inputs'!$D$3:$D$223),7),"")</f>
        <v>0</v>
      </c>
      <c r="I33" s="270">
        <f>IF($C33&lt;=vars_OWSA,INDEX('Model Inputs'!$D$3:$N$223,MATCH($C33,'Model Inputs'!$D$3:$D$223),8),"")</f>
        <v>0</v>
      </c>
      <c r="J33" s="2">
        <v>7746724.9883214682</v>
      </c>
      <c r="K33" s="2">
        <v>7746724.9883214682</v>
      </c>
      <c r="L33" s="445">
        <f t="shared" si="0"/>
        <v>0</v>
      </c>
      <c r="M33" s="5"/>
    </row>
    <row r="34" spans="2:13">
      <c r="B34" s="236"/>
      <c r="C34" s="366">
        <v>4</v>
      </c>
      <c r="D34" s="79"/>
      <c r="E34" s="79"/>
      <c r="F34" s="79"/>
      <c r="G34" s="70" t="str">
        <f>IF($C34&lt;=vars_OWSA,INDEX('Model Inputs'!$D$3:$N$223,MATCH($C34,'Model Inputs'!$D$3:$D$223,0),2),"")</f>
        <v>Percentage of Population that receives care in the Private Sector</v>
      </c>
      <c r="H34" s="270">
        <f>IF($C34&lt;=vars_OWSA,INDEX('Model Inputs'!$D$3:$N$223,MATCH($C34,'Model Inputs'!$D$3:$D$223),7),"")</f>
        <v>0</v>
      </c>
      <c r="I34" s="270">
        <f>IF($C34&lt;=vars_OWSA,INDEX('Model Inputs'!$D$3:$N$223,MATCH($C34,'Model Inputs'!$D$3:$D$223),8),"")</f>
        <v>0</v>
      </c>
      <c r="J34" s="2">
        <v>7746724.9883214682</v>
      </c>
      <c r="K34" s="2">
        <v>7746724.9883214682</v>
      </c>
      <c r="L34" s="445">
        <f t="shared" si="0"/>
        <v>0</v>
      </c>
      <c r="M34" s="5"/>
    </row>
    <row r="35" spans="2:13">
      <c r="B35" s="236"/>
      <c r="C35" s="366">
        <v>5</v>
      </c>
      <c r="D35" s="79"/>
      <c r="E35" s="79"/>
      <c r="F35" s="79"/>
      <c r="G35" s="70" t="str">
        <f>IF($C35&lt;=vars_OWSA,INDEX('Model Inputs'!$D$3:$N$223,MATCH($C35,'Model Inputs'!$D$3:$D$223,0),2),"")</f>
        <v>Percentage of Population that receives care at Other</v>
      </c>
      <c r="H35" s="270">
        <f>IF($C35&lt;=vars_OWSA,INDEX('Model Inputs'!$D$3:$N$223,MATCH($C35,'Model Inputs'!$D$3:$D$223),7),"")</f>
        <v>0</v>
      </c>
      <c r="I35" s="270">
        <f>IF($C35&lt;=vars_OWSA,INDEX('Model Inputs'!$D$3:$N$223,MATCH($C35,'Model Inputs'!$D$3:$D$223),8),"")</f>
        <v>0</v>
      </c>
      <c r="J35" s="2">
        <v>15493449.976642877</v>
      </c>
      <c r="K35" s="2">
        <v>15493449.976642877</v>
      </c>
      <c r="L35" s="445">
        <f t="shared" si="0"/>
        <v>0</v>
      </c>
      <c r="M35" s="5"/>
    </row>
    <row r="36" spans="2:13">
      <c r="B36" s="236"/>
      <c r="C36" s="366">
        <v>6</v>
      </c>
      <c r="D36" s="79"/>
      <c r="E36" s="79"/>
      <c r="F36" s="79"/>
      <c r="G36" s="70" t="str">
        <f>IF($C36&lt;=vars_OWSA,INDEX('Model Inputs'!$D$3:$N$223,MATCH($C36,'Model Inputs'!$D$3:$D$223,0),2),"")</f>
        <v>Proportion of  Hospitals in Public Sector</v>
      </c>
      <c r="H36" s="270">
        <f>IF($C36&lt;=vars_OWSA,INDEX('Model Inputs'!$D$3:$N$223,MATCH($C36,'Model Inputs'!$D$3:$D$223),7),"")</f>
        <v>0</v>
      </c>
      <c r="I36" s="270">
        <f>IF($C36&lt;=vars_OWSA,INDEX('Model Inputs'!$D$3:$N$223,MATCH($C36,'Model Inputs'!$D$3:$D$223),8),"")</f>
        <v>0</v>
      </c>
      <c r="J36" s="2">
        <v>11620087.482482113</v>
      </c>
      <c r="K36" s="2">
        <v>11620087.482482113</v>
      </c>
      <c r="L36" s="445">
        <f t="shared" si="0"/>
        <v>0</v>
      </c>
      <c r="M36" s="5"/>
    </row>
    <row r="37" spans="2:13">
      <c r="B37" s="236"/>
      <c r="C37" s="366">
        <v>7</v>
      </c>
      <c r="D37" s="79"/>
      <c r="E37" s="79"/>
      <c r="F37" s="79"/>
      <c r="G37" s="70" t="str">
        <f>IF($C37&lt;=vars_OWSA,INDEX('Model Inputs'!$D$3:$N$223,MATCH($C37,'Model Inputs'!$D$3:$D$223,0),2),"")</f>
        <v>Proportion of  Public Health Centers in Public Sector</v>
      </c>
      <c r="H37" s="270">
        <f>IF($C37&lt;=vars_OWSA,INDEX('Model Inputs'!$D$3:$N$223,MATCH($C37,'Model Inputs'!$D$3:$D$223),7),"")</f>
        <v>0</v>
      </c>
      <c r="I37" s="270">
        <f>IF($C37&lt;=vars_OWSA,INDEX('Model Inputs'!$D$3:$N$223,MATCH($C37,'Model Inputs'!$D$3:$D$223),8),"")</f>
        <v>0</v>
      </c>
      <c r="J37" s="2">
        <v>11620087.482482113</v>
      </c>
      <c r="K37" s="2">
        <v>11620087.482482113</v>
      </c>
      <c r="L37" s="445">
        <f t="shared" si="0"/>
        <v>0</v>
      </c>
      <c r="M37" s="5"/>
    </row>
    <row r="38" spans="2:13">
      <c r="B38" s="236"/>
      <c r="C38" s="366">
        <v>8</v>
      </c>
      <c r="D38" s="79"/>
      <c r="E38" s="79"/>
      <c r="F38" s="79"/>
      <c r="G38" s="70" t="str">
        <f>IF($C38&lt;=vars_OWSA,INDEX('Model Inputs'!$D$3:$N$223,MATCH($C38,'Model Inputs'!$D$3:$D$223,0),2),"")</f>
        <v>Proportion of Hospitals in Private Sector</v>
      </c>
      <c r="H38" s="270">
        <f>IF($C38&lt;=vars_OWSA,INDEX('Model Inputs'!$D$3:$N$223,MATCH($C38,'Model Inputs'!$D$3:$D$223),7),"")</f>
        <v>0</v>
      </c>
      <c r="I38" s="270">
        <f>IF($C38&lt;=vars_OWSA,INDEX('Model Inputs'!$D$3:$N$223,MATCH($C38,'Model Inputs'!$D$3:$D$223),8),"")</f>
        <v>0</v>
      </c>
      <c r="J38" s="2">
        <v>12911208.313869074</v>
      </c>
      <c r="K38" s="2">
        <v>12911208.313869074</v>
      </c>
      <c r="L38" s="445">
        <f t="shared" si="0"/>
        <v>0</v>
      </c>
      <c r="M38" s="5"/>
    </row>
    <row r="39" spans="2:13">
      <c r="C39" s="366">
        <v>9</v>
      </c>
      <c r="D39" s="79"/>
      <c r="E39" s="79"/>
      <c r="F39" s="79"/>
      <c r="G39" s="70" t="str">
        <f>IF($C39&lt;=vars_OWSA,INDEX('Model Inputs'!$D$3:$N$223,MATCH($C39,'Model Inputs'!$D$3:$D$223,0),2),"")</f>
        <v>Proportion of Private Pharmacies in Private Sector</v>
      </c>
      <c r="H39" s="270">
        <f>IF($C39&lt;=vars_OWSA,INDEX('Model Inputs'!$D$3:$N$223,MATCH($C39,'Model Inputs'!$D$3:$D$223),7),"")</f>
        <v>0</v>
      </c>
      <c r="I39" s="270">
        <f>IF($C39&lt;=vars_OWSA,INDEX('Model Inputs'!$D$3:$N$223,MATCH($C39,'Model Inputs'!$D$3:$D$223),8),"")</f>
        <v>0</v>
      </c>
      <c r="J39" s="2">
        <v>12911208.313869074</v>
      </c>
      <c r="K39" s="2">
        <v>12911208.313869074</v>
      </c>
      <c r="L39" s="445">
        <f t="shared" ref="L39:L70" si="1">IF(C39&lt;=vars_OWSA,ABS(K39-J39),0)</f>
        <v>0</v>
      </c>
      <c r="M39" s="5"/>
    </row>
    <row r="40" spans="2:13">
      <c r="C40" s="366">
        <v>10</v>
      </c>
      <c r="D40" s="79"/>
      <c r="E40" s="79"/>
      <c r="F40" s="79"/>
      <c r="G40" s="70" t="str">
        <f>IF($C40&lt;=vars_OWSA,INDEX('Model Inputs'!$D$3:$N$223,MATCH($C40,'Model Inputs'!$D$3:$D$223,0),2),"")</f>
        <v>Proportion of "other locations" in Private Sector</v>
      </c>
      <c r="H40" s="270">
        <f>IF($C40&lt;=vars_OWSA,INDEX('Model Inputs'!$D$3:$N$223,MATCH($C40,'Model Inputs'!$D$3:$D$223),7),"")</f>
        <v>0</v>
      </c>
      <c r="I40" s="270">
        <f>IF($C40&lt;=vars_OWSA,INDEX('Model Inputs'!$D$3:$N$223,MATCH($C40,'Model Inputs'!$D$3:$D$223),8),"")</f>
        <v>0</v>
      </c>
      <c r="J40" s="2">
        <v>12911208.313869074</v>
      </c>
      <c r="K40" s="2">
        <v>12911208.313869074</v>
      </c>
      <c r="L40" s="445">
        <f t="shared" si="1"/>
        <v>0</v>
      </c>
      <c r="M40" s="5"/>
    </row>
    <row r="41" spans="2:13">
      <c r="C41" s="366">
        <v>12</v>
      </c>
      <c r="D41" s="79"/>
      <c r="E41" s="79"/>
      <c r="F41" s="79"/>
      <c r="G41" s="70" t="str">
        <f>IF($C41&lt;=vars_OWSA,INDEX('Model Inputs'!$D$3:$N$223,MATCH($C41,'Model Inputs'!$D$3:$D$223,0),2),"")</f>
        <v>Proportion of Substandard and Falsified Medicines 2 in the Real-world Scenario</v>
      </c>
      <c r="H41" s="270">
        <f>IF($C41&lt;=vars_OWSA,INDEX('Model Inputs'!$D$3:$N$223,MATCH($C41,'Model Inputs'!$D$3:$D$223),7),"")</f>
        <v>0</v>
      </c>
      <c r="I41" s="270">
        <f>IF($C41&lt;=vars_OWSA,INDEX('Model Inputs'!$D$3:$N$223,MATCH($C41,'Model Inputs'!$D$3:$D$223),8),"")</f>
        <v>0</v>
      </c>
      <c r="J41" s="2">
        <v>15493449.976642877</v>
      </c>
      <c r="K41" s="2">
        <v>15493449.976642877</v>
      </c>
      <c r="L41" s="445">
        <f t="shared" si="1"/>
        <v>0</v>
      </c>
      <c r="M41" s="5"/>
    </row>
    <row r="42" spans="2:13">
      <c r="C42" s="366">
        <v>14</v>
      </c>
      <c r="D42" s="79"/>
      <c r="E42" s="79"/>
      <c r="F42" s="79"/>
      <c r="G42" s="70" t="str">
        <f>IF($C42&lt;=vars_OWSA,INDEX('Model Inputs'!$D$3:$N$223,MATCH($C42,'Model Inputs'!$D$3:$D$223,0),2),"")</f>
        <v>Proportion of Standard Quality Medicines in the Real-world Scenario</v>
      </c>
      <c r="H42" s="270">
        <f>IF($C42&lt;=vars_OWSA,INDEX('Model Inputs'!$D$3:$N$223,MATCH($C42,'Model Inputs'!$D$3:$D$223),7),"")</f>
        <v>0.77</v>
      </c>
      <c r="I42" s="270">
        <f>IF($C42&lt;=vars_OWSA,INDEX('Model Inputs'!$D$3:$N$223,MATCH($C42,'Model Inputs'!$D$3:$D$223),8),"")</f>
        <v>1</v>
      </c>
      <c r="J42" s="2">
        <v>15493449.976642877</v>
      </c>
      <c r="K42" s="2">
        <v>15493449.976642877</v>
      </c>
      <c r="L42" s="445">
        <f t="shared" si="1"/>
        <v>0</v>
      </c>
      <c r="M42" s="5"/>
    </row>
    <row r="43" spans="2:13">
      <c r="C43" s="366">
        <v>16</v>
      </c>
      <c r="D43" s="79"/>
      <c r="E43" s="79"/>
      <c r="F43" s="79"/>
      <c r="G43" s="70" t="str">
        <f>IF($C43&lt;=vars_OWSA,INDEX('Model Inputs'!$D$3:$N$223,MATCH($C43,'Model Inputs'!$D$3:$D$223,0),2),"")</f>
        <v>Proportion of Healthcare Providers  who increase dose to achieve full effect</v>
      </c>
      <c r="H43" s="270">
        <f>IF($C43&lt;=vars_OWSA,INDEX('Model Inputs'!$D$3:$N$223,MATCH($C43,'Model Inputs'!$D$3:$D$223),7),"")</f>
        <v>0</v>
      </c>
      <c r="I43" s="270">
        <f>IF($C43&lt;=vars_OWSA,INDEX('Model Inputs'!$D$3:$N$223,MATCH($C43,'Model Inputs'!$D$3:$D$223),8),"")</f>
        <v>0</v>
      </c>
      <c r="J43" s="2">
        <v>15493449.976642877</v>
      </c>
      <c r="K43" s="2">
        <v>15493449.976642877</v>
      </c>
      <c r="L43" s="445">
        <f t="shared" si="1"/>
        <v>0</v>
      </c>
      <c r="M43" s="5"/>
    </row>
    <row r="44" spans="2:13">
      <c r="C44" s="366">
        <v>17</v>
      </c>
      <c r="D44" s="79"/>
      <c r="E44" s="79"/>
      <c r="F44" s="79"/>
      <c r="G44" s="70" t="str">
        <f>IF($C44&lt;=vars_OWSA,INDEX('Model Inputs'!$D$3:$N$223,MATCH($C44,'Model Inputs'!$D$3:$D$223,0),2),"")</f>
        <v xml:space="preserve">Total Number of Doses After updosing for Substandard and Falsified Medicines 1 </v>
      </c>
      <c r="H44" s="270">
        <f>IF($C44&lt;=vars_OWSA,INDEX('Model Inputs'!$D$3:$N$223,MATCH($C44,'Model Inputs'!$D$3:$D$223),7),"")</f>
        <v>0</v>
      </c>
      <c r="I44" s="270">
        <f>IF($C44&lt;=vars_OWSA,INDEX('Model Inputs'!$D$3:$N$223,MATCH($C44,'Model Inputs'!$D$3:$D$223),8),"")</f>
        <v>0</v>
      </c>
      <c r="J44" s="2">
        <v>15493449.976642877</v>
      </c>
      <c r="K44" s="2">
        <v>15493449.976642877</v>
      </c>
      <c r="L44" s="445">
        <f t="shared" si="1"/>
        <v>0</v>
      </c>
      <c r="M44" s="5"/>
    </row>
    <row r="45" spans="2:13">
      <c r="C45" s="366">
        <v>18</v>
      </c>
      <c r="D45" s="79"/>
      <c r="E45" s="79"/>
      <c r="F45" s="79"/>
      <c r="G45" s="70" t="str">
        <f>IF($C45&lt;=vars_OWSA,INDEX('Model Inputs'!$D$3:$N$223,MATCH($C45,'Model Inputs'!$D$3:$D$223,0),2),"")</f>
        <v xml:space="preserve">Total number of Doses After updosing for Substandard and Falsified Medicines 2 </v>
      </c>
      <c r="H45" s="270">
        <f>IF($C45&lt;=vars_OWSA,INDEX('Model Inputs'!$D$3:$N$223,MATCH($C45,'Model Inputs'!$D$3:$D$223),7),"")</f>
        <v>0</v>
      </c>
      <c r="I45" s="270">
        <f>IF($C45&lt;=vars_OWSA,INDEX('Model Inputs'!$D$3:$N$223,MATCH($C45,'Model Inputs'!$D$3:$D$223),8),"")</f>
        <v>0</v>
      </c>
      <c r="J45" s="2">
        <v>15493449.976642877</v>
      </c>
      <c r="K45" s="2">
        <v>15493449.976642877</v>
      </c>
      <c r="L45" s="445">
        <f t="shared" si="1"/>
        <v>0</v>
      </c>
      <c r="M45" s="5"/>
    </row>
    <row r="46" spans="2:13">
      <c r="C46" s="366">
        <v>19</v>
      </c>
      <c r="D46" s="79"/>
      <c r="E46" s="79"/>
      <c r="F46" s="79"/>
      <c r="G46" s="70" t="str">
        <f>IF($C46&lt;=vars_OWSA,INDEX('Model Inputs'!$D$3:$N$223,MATCH($C46,'Model Inputs'!$D$3:$D$223,0),2),"")</f>
        <v xml:space="preserve">Total number of Doses After updosing Substandard and Falsified Medicines 3 </v>
      </c>
      <c r="H46" s="270">
        <f>IF($C46&lt;=vars_OWSA,INDEX('Model Inputs'!$D$3:$N$223,MATCH($C46,'Model Inputs'!$D$3:$D$223),7),"")</f>
        <v>0</v>
      </c>
      <c r="I46" s="270">
        <f>IF($C46&lt;=vars_OWSA,INDEX('Model Inputs'!$D$3:$N$223,MATCH($C46,'Model Inputs'!$D$3:$D$223),8),"")</f>
        <v>0</v>
      </c>
      <c r="J46" s="2">
        <v>15493449.976642877</v>
      </c>
      <c r="K46" s="2">
        <v>15493449.976642877</v>
      </c>
      <c r="L46" s="445">
        <f t="shared" si="1"/>
        <v>0</v>
      </c>
      <c r="M46" s="5"/>
    </row>
    <row r="47" spans="2:13">
      <c r="C47" s="366">
        <v>20</v>
      </c>
      <c r="D47" s="79"/>
      <c r="E47" s="79"/>
      <c r="F47" s="79"/>
      <c r="G47" s="70" t="str">
        <f>IF($C47&lt;=vars_OWSA,INDEX('Model Inputs'!$D$3:$N$223,MATCH($C47,'Model Inputs'!$D$3:$D$223,0),2),"")</f>
        <v>Treatment Effect of Substandard and Falsified Medicines 1 (API: 75-89%)</v>
      </c>
      <c r="H47" s="270">
        <f>IF($C47&lt;=vars_OWSA,INDEX('Model Inputs'!$D$3:$N$223,MATCH($C47,'Model Inputs'!$D$3:$D$223),7),"")</f>
        <v>0.6</v>
      </c>
      <c r="I47" s="270">
        <f>IF($C47&lt;=vars_OWSA,INDEX('Model Inputs'!$D$3:$N$223,MATCH($C47,'Model Inputs'!$D$3:$D$223),8),"")</f>
        <v>0.6</v>
      </c>
      <c r="J47" s="2">
        <v>15493449.976642877</v>
      </c>
      <c r="K47" s="2">
        <v>15493449.976642877</v>
      </c>
      <c r="L47" s="445">
        <f t="shared" si="1"/>
        <v>0</v>
      </c>
      <c r="M47" s="5"/>
    </row>
    <row r="48" spans="2:13">
      <c r="C48" s="366">
        <v>21</v>
      </c>
      <c r="D48" s="79"/>
      <c r="E48" s="79"/>
      <c r="F48" s="79"/>
      <c r="G48" s="70" t="str">
        <f>IF($C48&lt;=vars_OWSA,INDEX('Model Inputs'!$D$3:$N$223,MATCH($C48,'Model Inputs'!$D$3:$D$223,0),2),"")</f>
        <v>Treatment Effect of Substandard and Falsified Medicines 2 (API: 50-74%)</v>
      </c>
      <c r="H48" s="270">
        <f>IF($C48&lt;=vars_OWSA,INDEX('Model Inputs'!$D$3:$N$223,MATCH($C48,'Model Inputs'!$D$3:$D$223),7),"")</f>
        <v>0.3</v>
      </c>
      <c r="I48" s="270">
        <f>IF($C48&lt;=vars_OWSA,INDEX('Model Inputs'!$D$3:$N$223,MATCH($C48,'Model Inputs'!$D$3:$D$223),8),"")</f>
        <v>0.3</v>
      </c>
      <c r="J48" s="2">
        <v>15493449.976642877</v>
      </c>
      <c r="K48" s="2">
        <v>15493449.976642877</v>
      </c>
      <c r="L48" s="445">
        <f t="shared" si="1"/>
        <v>0</v>
      </c>
      <c r="M48" s="5"/>
    </row>
    <row r="49" spans="2:13">
      <c r="C49" s="366">
        <v>22</v>
      </c>
      <c r="D49" s="79"/>
      <c r="E49" s="79"/>
      <c r="F49" s="79"/>
      <c r="G49" s="70" t="str">
        <f>IF($C49&lt;=vars_OWSA,INDEX('Model Inputs'!$D$3:$N$223,MATCH($C49,'Model Inputs'!$D$3:$D$223,0),2),"")</f>
        <v>Treatment Effect of Substandard and Falsified Medicines 3 (API &lt;50%)</v>
      </c>
      <c r="H49" s="270">
        <f>IF($C49&lt;=vars_OWSA,INDEX('Model Inputs'!$D$3:$N$223,MATCH($C49,'Model Inputs'!$D$3:$D$223),7),"")</f>
        <v>0</v>
      </c>
      <c r="I49" s="270">
        <f>IF($C49&lt;=vars_OWSA,INDEX('Model Inputs'!$D$3:$N$223,MATCH($C49,'Model Inputs'!$D$3:$D$223),8),"")</f>
        <v>0</v>
      </c>
      <c r="J49" s="2">
        <v>15493449.976642877</v>
      </c>
      <c r="K49" s="2">
        <v>15493449.976642877</v>
      </c>
      <c r="L49" s="445">
        <f t="shared" si="1"/>
        <v>0</v>
      </c>
      <c r="M49" s="5"/>
    </row>
    <row r="50" spans="2:13">
      <c r="C50" s="366">
        <v>23</v>
      </c>
      <c r="D50" s="79"/>
      <c r="E50" s="79"/>
      <c r="F50" s="79"/>
      <c r="G50" s="70" t="str">
        <f>IF($C50&lt;=vars_OWSA,INDEX('Model Inputs'!$D$3:$N$223,MATCH($C50,'Model Inputs'!$D$3:$D$223,0),2),"")</f>
        <v>Treatment Effect of Standard Quality Medicines (API: 90-110%)</v>
      </c>
      <c r="H50" s="270">
        <f>IF($C50&lt;=vars_OWSA,INDEX('Model Inputs'!$D$3:$N$223,MATCH($C50,'Model Inputs'!$D$3:$D$223),7),"")</f>
        <v>1</v>
      </c>
      <c r="I50" s="270">
        <f>IF($C50&lt;=vars_OWSA,INDEX('Model Inputs'!$D$3:$N$223,MATCH($C50,'Model Inputs'!$D$3:$D$223),8),"")</f>
        <v>1</v>
      </c>
      <c r="J50" s="2">
        <v>15493449.976642877</v>
      </c>
      <c r="K50" s="2">
        <v>15493449.976642877</v>
      </c>
      <c r="L50" s="445">
        <f t="shared" si="1"/>
        <v>0</v>
      </c>
      <c r="M50" s="5"/>
    </row>
    <row r="51" spans="2:13">
      <c r="B51" s="236"/>
      <c r="C51" s="366">
        <v>24</v>
      </c>
      <c r="D51" s="79"/>
      <c r="E51" s="79"/>
      <c r="F51" s="79"/>
      <c r="G51" s="70" t="str">
        <f>IF($C51&lt;=vars_OWSA,INDEX('Model Inputs'!$D$3:$N$223,MATCH($C51,'Model Inputs'!$D$3:$D$223,0),2),"")</f>
        <v>Life-year outcome with treatment</v>
      </c>
      <c r="H51" s="270">
        <f>IF($C51&lt;=vars_OWSA,INDEX('Model Inputs'!$D$3:$N$223,MATCH($C51,'Model Inputs'!$D$3:$D$223),7),"")</f>
        <v>0</v>
      </c>
      <c r="I51" s="270">
        <f>IF($C51&lt;=vars_OWSA,INDEX('Model Inputs'!$D$3:$N$223,MATCH($C51,'Model Inputs'!$D$3:$D$223),8),"")</f>
        <v>0</v>
      </c>
      <c r="J51" s="2">
        <v>15493449.976642877</v>
      </c>
      <c r="K51" s="2">
        <v>15493449.976642877</v>
      </c>
      <c r="L51" s="445">
        <f t="shared" si="1"/>
        <v>0</v>
      </c>
      <c r="M51" s="5"/>
    </row>
    <row r="52" spans="2:13">
      <c r="B52" s="236"/>
      <c r="C52" s="366">
        <v>25</v>
      </c>
      <c r="D52" s="79"/>
      <c r="E52" s="79"/>
      <c r="F52" s="79"/>
      <c r="G52" s="70" t="str">
        <f>IF($C52&lt;=vars_OWSA,INDEX('Model Inputs'!$D$3:$N$223,MATCH($C52,'Model Inputs'!$D$3:$D$223,0),2),"")</f>
        <v>Life-year outcome without treatment</v>
      </c>
      <c r="H52" s="270">
        <f>IF($C52&lt;=vars_OWSA,INDEX('Model Inputs'!$D$3:$N$223,MATCH($C52,'Model Inputs'!$D$3:$D$223),7),"")</f>
        <v>0</v>
      </c>
      <c r="I52" s="270">
        <f>IF($C52&lt;=vars_OWSA,INDEX('Model Inputs'!$D$3:$N$223,MATCH($C52,'Model Inputs'!$D$3:$D$223),8),"")</f>
        <v>0</v>
      </c>
      <c r="J52" s="2">
        <v>15493449.976642877</v>
      </c>
      <c r="K52" s="2">
        <v>15493449.976642877</v>
      </c>
      <c r="L52" s="445">
        <f t="shared" si="1"/>
        <v>0</v>
      </c>
      <c r="M52" s="5"/>
    </row>
    <row r="53" spans="2:13">
      <c r="B53" s="236"/>
      <c r="C53" s="366">
        <v>26</v>
      </c>
      <c r="D53" s="79"/>
      <c r="E53" s="79"/>
      <c r="F53" s="79"/>
      <c r="G53" s="70" t="str">
        <f>IF($C53&lt;=vars_OWSA,INDEX('Model Inputs'!$D$3:$N$223,MATCH($C53,'Model Inputs'!$D$3:$D$223,0),2),"")</f>
        <v>QALY outcome with treatment</v>
      </c>
      <c r="H53" s="270">
        <f>IF($C53&lt;=vars_OWSA,INDEX('Model Inputs'!$D$3:$N$223,MATCH($C53,'Model Inputs'!$D$3:$D$223),7),"")</f>
        <v>0</v>
      </c>
      <c r="I53" s="270">
        <f>IF($C53&lt;=vars_OWSA,INDEX('Model Inputs'!$D$3:$N$223,MATCH($C53,'Model Inputs'!$D$3:$D$223),8),"")</f>
        <v>0</v>
      </c>
      <c r="J53" s="2">
        <v>15493449.976642877</v>
      </c>
      <c r="K53" s="2">
        <v>15493449.976642877</v>
      </c>
      <c r="L53" s="445">
        <f t="shared" si="1"/>
        <v>0</v>
      </c>
      <c r="M53" s="5"/>
    </row>
    <row r="54" spans="2:13">
      <c r="B54" s="236"/>
      <c r="C54" s="366">
        <v>27</v>
      </c>
      <c r="D54" s="79"/>
      <c r="E54" s="79"/>
      <c r="F54" s="79"/>
      <c r="G54" s="70" t="str">
        <f>IF($C54&lt;=vars_OWSA,INDEX('Model Inputs'!$D$3:$N$223,MATCH($C54,'Model Inputs'!$D$3:$D$223,0),2),"")</f>
        <v>QALY outcome without treatment</v>
      </c>
      <c r="H54" s="270">
        <f>IF($C54&lt;=vars_OWSA,INDEX('Model Inputs'!$D$3:$N$223,MATCH($C54,'Model Inputs'!$D$3:$D$223),7),"")</f>
        <v>0</v>
      </c>
      <c r="I54" s="270">
        <f>IF($C54&lt;=vars_OWSA,INDEX('Model Inputs'!$D$3:$N$223,MATCH($C54,'Model Inputs'!$D$3:$D$223),8),"")</f>
        <v>0</v>
      </c>
      <c r="J54" s="2">
        <v>15493449.976642877</v>
      </c>
      <c r="K54" s="2">
        <v>15493449.976642877</v>
      </c>
      <c r="L54" s="445">
        <f t="shared" si="1"/>
        <v>0</v>
      </c>
      <c r="M54" s="5"/>
    </row>
    <row r="55" spans="2:13">
      <c r="B55" s="236"/>
      <c r="C55" s="366">
        <v>28</v>
      </c>
      <c r="D55" s="79"/>
      <c r="E55" s="79"/>
      <c r="F55" s="79"/>
      <c r="G55" s="70" t="str">
        <f>IF($C55&lt;=vars_OWSA,INDEX('Model Inputs'!$D$3:$N$223,MATCH($C55,'Model Inputs'!$D$3:$D$223,0),2),"")</f>
        <v>DALY outcome with treatment</v>
      </c>
      <c r="H55" s="270">
        <f>IF($C55&lt;=vars_OWSA,INDEX('Model Inputs'!$D$3:$N$223,MATCH($C55,'Model Inputs'!$D$3:$D$223),7),"")</f>
        <v>0</v>
      </c>
      <c r="I55" s="270">
        <f>IF($C55&lt;=vars_OWSA,INDEX('Model Inputs'!$D$3:$N$223,MATCH($C55,'Model Inputs'!$D$3:$D$223),8),"")</f>
        <v>0</v>
      </c>
      <c r="J55" s="2">
        <v>15493449.976642877</v>
      </c>
      <c r="K55" s="2">
        <v>15493449.976642877</v>
      </c>
      <c r="L55" s="445">
        <f t="shared" si="1"/>
        <v>0</v>
      </c>
      <c r="M55" s="5"/>
    </row>
    <row r="56" spans="2:13">
      <c r="B56" s="236"/>
      <c r="C56" s="366">
        <v>29</v>
      </c>
      <c r="D56" s="79"/>
      <c r="E56" s="79"/>
      <c r="F56" s="79"/>
      <c r="G56" s="70" t="str">
        <f>IF($C56&lt;=vars_OWSA,INDEX('Model Inputs'!$D$3:$N$223,MATCH($C56,'Model Inputs'!$D$3:$D$223,0),2),"")</f>
        <v>DALY outcome without tx</v>
      </c>
      <c r="H56" s="270">
        <f>IF($C56&lt;=vars_OWSA,INDEX('Model Inputs'!$D$3:$N$223,MATCH($C56,'Model Inputs'!$D$3:$D$223),7),"")</f>
        <v>0</v>
      </c>
      <c r="I56" s="270">
        <f>IF($C56&lt;=vars_OWSA,INDEX('Model Inputs'!$D$3:$N$223,MATCH($C56,'Model Inputs'!$D$3:$D$223),8),"")</f>
        <v>0</v>
      </c>
      <c r="J56" s="2">
        <v>15493449.976642877</v>
      </c>
      <c r="K56" s="2">
        <v>15493449.976642877</v>
      </c>
      <c r="L56" s="445">
        <f t="shared" si="1"/>
        <v>0</v>
      </c>
      <c r="M56" s="5"/>
    </row>
    <row r="57" spans="2:13">
      <c r="B57" s="236"/>
      <c r="C57" s="366">
        <v>36</v>
      </c>
      <c r="D57" s="79"/>
      <c r="E57" s="79"/>
      <c r="F57" s="79"/>
      <c r="G57" s="70" t="str">
        <f>IF($C57&lt;=vars_OWSA,INDEX('Model Inputs'!$D$3:$N$223,MATCH($C57,'Model Inputs'!$D$3:$D$223,0),2),"")</f>
        <v>Probability of Custom 3 with treatment</v>
      </c>
      <c r="H57" s="270">
        <f>IF($C57&lt;=vars_OWSA,INDEX('Model Inputs'!$D$3:$N$223,MATCH($C57,'Model Inputs'!$D$3:$D$223),7),"")</f>
        <v>0</v>
      </c>
      <c r="I57" s="270">
        <f>IF($C57&lt;=vars_OWSA,INDEX('Model Inputs'!$D$3:$N$223,MATCH($C57,'Model Inputs'!$D$3:$D$223),8),"")</f>
        <v>0</v>
      </c>
      <c r="J57" s="2">
        <v>15493449.976642877</v>
      </c>
      <c r="K57" s="2">
        <v>15493449.976642877</v>
      </c>
      <c r="L57" s="445">
        <f t="shared" si="1"/>
        <v>0</v>
      </c>
      <c r="M57" s="5"/>
    </row>
    <row r="58" spans="2:13">
      <c r="B58" s="236"/>
      <c r="C58" s="366">
        <v>37</v>
      </c>
      <c r="D58" s="79"/>
      <c r="E58" s="79"/>
      <c r="F58" s="79"/>
      <c r="G58" s="70" t="str">
        <f>IF($C58&lt;=vars_OWSA,INDEX('Model Inputs'!$D$3:$N$223,MATCH($C58,'Model Inputs'!$D$3:$D$223,0),2),"")</f>
        <v>Probability of Custom 3 without treatment</v>
      </c>
      <c r="H58" s="270">
        <f>IF($C58&lt;=vars_OWSA,INDEX('Model Inputs'!$D$3:$N$223,MATCH($C58,'Model Inputs'!$D$3:$D$223),7),"")</f>
        <v>0</v>
      </c>
      <c r="I58" s="270">
        <f>IF($C58&lt;=vars_OWSA,INDEX('Model Inputs'!$D$3:$N$223,MATCH($C58,'Model Inputs'!$D$3:$D$223),8),"")</f>
        <v>0</v>
      </c>
      <c r="J58" s="2">
        <v>15493449.976642877</v>
      </c>
      <c r="K58" s="2">
        <v>15493449.976642877</v>
      </c>
      <c r="L58" s="445">
        <f t="shared" si="1"/>
        <v>0</v>
      </c>
      <c r="M58" s="5"/>
    </row>
    <row r="59" spans="2:13">
      <c r="B59" s="236"/>
      <c r="C59" s="366">
        <v>38</v>
      </c>
      <c r="D59" s="79"/>
      <c r="E59" s="79"/>
      <c r="F59" s="79"/>
      <c r="G59" s="70" t="str">
        <f>IF($C59&lt;=vars_OWSA,INDEX('Model Inputs'!$D$3:$N$223,MATCH($C59,'Model Inputs'!$D$3:$D$223,0),2),"")</f>
        <v>Probability of Custom 4 with treatment</v>
      </c>
      <c r="H59" s="270">
        <f>IF($C59&lt;=vars_OWSA,INDEX('Model Inputs'!$D$3:$N$223,MATCH($C59,'Model Inputs'!$D$3:$D$223),7),"")</f>
        <v>0</v>
      </c>
      <c r="I59" s="270">
        <f>IF($C59&lt;=vars_OWSA,INDEX('Model Inputs'!$D$3:$N$223,MATCH($C59,'Model Inputs'!$D$3:$D$223),8),"")</f>
        <v>0</v>
      </c>
      <c r="J59" s="2">
        <v>15493449.976642877</v>
      </c>
      <c r="K59" s="2">
        <v>15493449.976642877</v>
      </c>
      <c r="L59" s="445">
        <f t="shared" si="1"/>
        <v>0</v>
      </c>
      <c r="M59" s="5"/>
    </row>
    <row r="60" spans="2:13">
      <c r="B60" s="236"/>
      <c r="C60" s="366">
        <v>39</v>
      </c>
      <c r="D60" s="79"/>
      <c r="E60" s="79"/>
      <c r="F60" s="79"/>
      <c r="G60" s="70" t="str">
        <f>IF($C60&lt;=vars_OWSA,INDEX('Model Inputs'!$D$3:$N$223,MATCH($C60,'Model Inputs'!$D$3:$D$223,0),2),"")</f>
        <v>Probability of Custom 4 without treatment</v>
      </c>
      <c r="H60" s="270">
        <f>IF($C60&lt;=vars_OWSA,INDEX('Model Inputs'!$D$3:$N$223,MATCH($C60,'Model Inputs'!$D$3:$D$223),7),"")</f>
        <v>0</v>
      </c>
      <c r="I60" s="270">
        <f>IF($C60&lt;=vars_OWSA,INDEX('Model Inputs'!$D$3:$N$223,MATCH($C60,'Model Inputs'!$D$3:$D$223),8),"")</f>
        <v>0</v>
      </c>
      <c r="J60" s="2">
        <v>15493449.976642877</v>
      </c>
      <c r="K60" s="2">
        <v>15493449.976642877</v>
      </c>
      <c r="L60" s="445">
        <f t="shared" si="1"/>
        <v>0</v>
      </c>
      <c r="M60" s="5"/>
    </row>
    <row r="61" spans="2:13">
      <c r="B61" s="236"/>
      <c r="C61" s="366">
        <v>44</v>
      </c>
      <c r="D61" s="79"/>
      <c r="E61" s="79"/>
      <c r="F61" s="79"/>
      <c r="G61" s="70" t="str">
        <f>IF($C61&lt;=vars_OWSA,INDEX('Model Inputs'!$D$3:$N$223,MATCH($C61,'Model Inputs'!$D$3:$D$223,0),2),"")</f>
        <v>Number of sick days due to Custom 3 with treatment</v>
      </c>
      <c r="H61" s="270">
        <f>IF($C61&lt;=vars_OWSA,INDEX('Model Inputs'!$D$3:$N$223,MATCH($C61,'Model Inputs'!$D$3:$D$223),7),"")</f>
        <v>0</v>
      </c>
      <c r="I61" s="270">
        <f>IF($C61&lt;=vars_OWSA,INDEX('Model Inputs'!$D$3:$N$223,MATCH($C61,'Model Inputs'!$D$3:$D$223),8),"")</f>
        <v>0</v>
      </c>
      <c r="J61" s="2">
        <v>15493449.976642877</v>
      </c>
      <c r="K61" s="2">
        <v>15493449.976642877</v>
      </c>
      <c r="L61" s="445">
        <f t="shared" si="1"/>
        <v>0</v>
      </c>
      <c r="M61" s="5"/>
    </row>
    <row r="62" spans="2:13">
      <c r="B62" s="236"/>
      <c r="C62" s="366">
        <v>45</v>
      </c>
      <c r="D62" s="79"/>
      <c r="E62" s="79"/>
      <c r="F62" s="79"/>
      <c r="G62" s="70" t="str">
        <f>IF($C62&lt;=vars_OWSA,INDEX('Model Inputs'!$D$3:$N$223,MATCH($C62,'Model Inputs'!$D$3:$D$223,0),2),"")</f>
        <v>Number of sick days due to Custom 3 without treatment</v>
      </c>
      <c r="H62" s="270">
        <f>IF($C62&lt;=vars_OWSA,INDEX('Model Inputs'!$D$3:$N$223,MATCH($C62,'Model Inputs'!$D$3:$D$223),7),"")</f>
        <v>0</v>
      </c>
      <c r="I62" s="270">
        <f>IF($C62&lt;=vars_OWSA,INDEX('Model Inputs'!$D$3:$N$223,MATCH($C62,'Model Inputs'!$D$3:$D$223),8),"")</f>
        <v>0</v>
      </c>
      <c r="J62" s="2">
        <v>15493449.976642877</v>
      </c>
      <c r="K62" s="2">
        <v>15493449.976642877</v>
      </c>
      <c r="L62" s="445">
        <f t="shared" si="1"/>
        <v>0</v>
      </c>
      <c r="M62" s="5"/>
    </row>
    <row r="63" spans="2:13">
      <c r="B63" s="236"/>
      <c r="C63" s="366">
        <v>46</v>
      </c>
      <c r="D63" s="79"/>
      <c r="E63" s="79"/>
      <c r="F63" s="79"/>
      <c r="G63" s="70" t="str">
        <f>IF($C63&lt;=vars_OWSA,INDEX('Model Inputs'!$D$3:$N$223,MATCH($C63,'Model Inputs'!$D$3:$D$223,0),2),"")</f>
        <v>Number of sick days due to Custom 4 with treatment</v>
      </c>
      <c r="H63" s="270">
        <f>IF($C63&lt;=vars_OWSA,INDEX('Model Inputs'!$D$3:$N$223,MATCH($C63,'Model Inputs'!$D$3:$D$223),7),"")</f>
        <v>0</v>
      </c>
      <c r="I63" s="270">
        <f>IF($C63&lt;=vars_OWSA,INDEX('Model Inputs'!$D$3:$N$223,MATCH($C63,'Model Inputs'!$D$3:$D$223),8),"")</f>
        <v>0</v>
      </c>
      <c r="J63" s="2">
        <v>15493449.976642877</v>
      </c>
      <c r="K63" s="2">
        <v>15493449.976642877</v>
      </c>
      <c r="L63" s="445">
        <f t="shared" si="1"/>
        <v>0</v>
      </c>
      <c r="M63" s="5"/>
    </row>
    <row r="64" spans="2:13">
      <c r="B64" s="236"/>
      <c r="C64" s="366">
        <v>47</v>
      </c>
      <c r="D64" s="79"/>
      <c r="E64" s="79"/>
      <c r="F64" s="79"/>
      <c r="G64" s="70" t="str">
        <f>IF($C64&lt;=vars_OWSA,INDEX('Model Inputs'!$D$3:$N$223,MATCH($C64,'Model Inputs'!$D$3:$D$223,0),2),"")</f>
        <v>Number of sick days due to Custom 4 without treatment</v>
      </c>
      <c r="H64" s="270">
        <f>IF($C64&lt;=vars_OWSA,INDEX('Model Inputs'!$D$3:$N$223,MATCH($C64,'Model Inputs'!$D$3:$D$223),7),"")</f>
        <v>0</v>
      </c>
      <c r="I64" s="270">
        <f>IF($C64&lt;=vars_OWSA,INDEX('Model Inputs'!$D$3:$N$223,MATCH($C64,'Model Inputs'!$D$3:$D$223),8),"")</f>
        <v>0</v>
      </c>
      <c r="J64" s="2">
        <v>15493449.976642877</v>
      </c>
      <c r="K64" s="2">
        <v>15493449.976642877</v>
      </c>
      <c r="L64" s="445">
        <f t="shared" si="1"/>
        <v>0</v>
      </c>
      <c r="M64" s="5"/>
    </row>
    <row r="65" spans="2:13">
      <c r="B65" s="236"/>
      <c r="C65" s="366">
        <v>48</v>
      </c>
      <c r="D65" s="79"/>
      <c r="E65" s="79"/>
      <c r="F65" s="79"/>
      <c r="G65" s="70" t="str">
        <f>IF($C65&lt;=vars_OWSA,INDEX('Model Inputs'!$D$3:$N$223,MATCH($C65,'Model Inputs'!$D$3:$D$223,0),2),"")</f>
        <v>Health Decrement in Life-year</v>
      </c>
      <c r="H65" s="270">
        <f>IF($C65&lt;=vars_OWSA,INDEX('Model Inputs'!$D$3:$N$223,MATCH($C65,'Model Inputs'!$D$3:$D$223),7),"")</f>
        <v>0</v>
      </c>
      <c r="I65" s="270">
        <f>IF($C65&lt;=vars_OWSA,INDEX('Model Inputs'!$D$3:$N$223,MATCH($C65,'Model Inputs'!$D$3:$D$223),8),"")</f>
        <v>0</v>
      </c>
      <c r="J65" s="2">
        <v>15493449.976642877</v>
      </c>
      <c r="K65" s="2">
        <v>15493449.976642877</v>
      </c>
      <c r="L65" s="445">
        <f t="shared" si="1"/>
        <v>0</v>
      </c>
      <c r="M65" s="5"/>
    </row>
    <row r="66" spans="2:13">
      <c r="B66" s="236"/>
      <c r="C66" s="366">
        <v>49</v>
      </c>
      <c r="D66" s="79"/>
      <c r="E66" s="79"/>
      <c r="F66" s="79"/>
      <c r="G66" s="70" t="str">
        <f>IF($C66&lt;=vars_OWSA,INDEX('Model Inputs'!$D$3:$N$223,MATCH($C66,'Model Inputs'!$D$3:$D$223,0),2),"")</f>
        <v>Health Decrement in QALY</v>
      </c>
      <c r="H66" s="270">
        <f>IF($C66&lt;=vars_OWSA,INDEX('Model Inputs'!$D$3:$N$223,MATCH($C66,'Model Inputs'!$D$3:$D$223),7),"")</f>
        <v>0</v>
      </c>
      <c r="I66" s="270">
        <f>IF($C66&lt;=vars_OWSA,INDEX('Model Inputs'!$D$3:$N$223,MATCH($C66,'Model Inputs'!$D$3:$D$223),8),"")</f>
        <v>0</v>
      </c>
      <c r="J66" s="2">
        <v>15493449.976642877</v>
      </c>
      <c r="K66" s="2">
        <v>15493449.976642877</v>
      </c>
      <c r="L66" s="445">
        <f t="shared" si="1"/>
        <v>0</v>
      </c>
      <c r="M66" s="5"/>
    </row>
    <row r="67" spans="2:13">
      <c r="B67" s="236"/>
      <c r="C67" s="366">
        <v>50</v>
      </c>
      <c r="D67" s="79"/>
      <c r="E67" s="79"/>
      <c r="F67" s="79"/>
      <c r="G67" s="70" t="str">
        <f>IF($C67&lt;=vars_OWSA,INDEX('Model Inputs'!$D$3:$N$223,MATCH($C67,'Model Inputs'!$D$3:$D$223,0),2),"")</f>
        <v>Health Decrement in DALY</v>
      </c>
      <c r="H67" s="270">
        <f>IF($C67&lt;=vars_OWSA,INDEX('Model Inputs'!$D$3:$N$223,MATCH($C67,'Model Inputs'!$D$3:$D$223),7),"")</f>
        <v>0</v>
      </c>
      <c r="I67" s="270">
        <f>IF($C67&lt;=vars_OWSA,INDEX('Model Inputs'!$D$3:$N$223,MATCH($C67,'Model Inputs'!$D$3:$D$223),8),"")</f>
        <v>0</v>
      </c>
      <c r="J67" s="2">
        <v>15493449.976642877</v>
      </c>
      <c r="K67" s="2">
        <v>15493449.976642877</v>
      </c>
      <c r="L67" s="445">
        <f t="shared" si="1"/>
        <v>0</v>
      </c>
      <c r="M67" s="5"/>
    </row>
    <row r="68" spans="2:13">
      <c r="B68" s="236"/>
      <c r="C68" s="366">
        <v>51</v>
      </c>
      <c r="D68" s="79"/>
      <c r="E68" s="79"/>
      <c r="F68" s="79"/>
      <c r="G68" s="70" t="str">
        <f>IF($C68&lt;=vars_OWSA,INDEX('Model Inputs'!$D$3:$N$223,MATCH($C68,'Model Inputs'!$D$3:$D$223,0),2),"")</f>
        <v>Health Decrement in Lifetime probability of condition-related death</v>
      </c>
      <c r="H68" s="270">
        <f>IF($C68&lt;=vars_OWSA,INDEX('Model Inputs'!$D$3:$N$223,MATCH($C68,'Model Inputs'!$D$3:$D$223),7),"")</f>
        <v>0</v>
      </c>
      <c r="I68" s="270">
        <f>IF($C68&lt;=vars_OWSA,INDEX('Model Inputs'!$D$3:$N$223,MATCH($C68,'Model Inputs'!$D$3:$D$223),8),"")</f>
        <v>0</v>
      </c>
      <c r="J68" s="2">
        <v>15493449.976642877</v>
      </c>
      <c r="K68" s="2">
        <v>15493449.976642877</v>
      </c>
      <c r="L68" s="445">
        <f t="shared" si="1"/>
        <v>0</v>
      </c>
      <c r="M68" s="5"/>
    </row>
    <row r="69" spans="2:13">
      <c r="B69" s="236"/>
      <c r="C69" s="366">
        <v>52</v>
      </c>
      <c r="D69" s="79"/>
      <c r="E69" s="79"/>
      <c r="F69" s="79"/>
      <c r="G69" s="70" t="str">
        <f>IF($C69&lt;=vars_OWSA,INDEX('Model Inputs'!$D$3:$N$223,MATCH($C69,'Model Inputs'!$D$3:$D$223,0),2),"")</f>
        <v>Health Decrement in severe pneumonia</v>
      </c>
      <c r="H69" s="270">
        <f>IF($C69&lt;=vars_OWSA,INDEX('Model Inputs'!$D$3:$N$223,MATCH($C69,'Model Inputs'!$D$3:$D$223),7),"")</f>
        <v>0</v>
      </c>
      <c r="I69" s="270">
        <f>IF($C69&lt;=vars_OWSA,INDEX('Model Inputs'!$D$3:$N$223,MATCH($C69,'Model Inputs'!$D$3:$D$223),8),"")</f>
        <v>0</v>
      </c>
      <c r="J69" s="2">
        <v>15493449.976642877</v>
      </c>
      <c r="K69" s="2">
        <v>15493449.976642877</v>
      </c>
      <c r="L69" s="445">
        <f t="shared" si="1"/>
        <v>0</v>
      </c>
      <c r="M69" s="5"/>
    </row>
    <row r="70" spans="2:13">
      <c r="B70" s="236"/>
      <c r="C70" s="366">
        <v>53</v>
      </c>
      <c r="D70" s="79"/>
      <c r="E70" s="79"/>
      <c r="F70" s="79"/>
      <c r="G70" s="70" t="str">
        <f>IF($C70&lt;=vars_OWSA,INDEX('Model Inputs'!$D$3:$N$223,MATCH($C70,'Model Inputs'!$D$3:$D$223,0),2),"")</f>
        <v>Health Decrement in very severe pneumonia</v>
      </c>
      <c r="H70" s="270">
        <f>IF($C70&lt;=vars_OWSA,INDEX('Model Inputs'!$D$3:$N$223,MATCH($C70,'Model Inputs'!$D$3:$D$223),7),"")</f>
        <v>0</v>
      </c>
      <c r="I70" s="270">
        <f>IF($C70&lt;=vars_OWSA,INDEX('Model Inputs'!$D$3:$N$223,MATCH($C70,'Model Inputs'!$D$3:$D$223),8),"")</f>
        <v>0</v>
      </c>
      <c r="J70" s="2">
        <v>15493449.976642877</v>
      </c>
      <c r="K70" s="2">
        <v>15493449.976642877</v>
      </c>
      <c r="L70" s="445">
        <f t="shared" si="1"/>
        <v>0</v>
      </c>
      <c r="M70" s="5"/>
    </row>
    <row r="71" spans="2:13">
      <c r="B71" s="236"/>
      <c r="C71" s="366">
        <v>54</v>
      </c>
      <c r="D71" s="79"/>
      <c r="E71" s="79"/>
      <c r="F71" s="79"/>
      <c r="G71" s="70" t="str">
        <f>IF($C71&lt;=vars_OWSA,INDEX('Model Inputs'!$D$3:$N$223,MATCH($C71,'Model Inputs'!$D$3:$D$223,0),2),"")</f>
        <v>Health Decrement in Custom 3</v>
      </c>
      <c r="H71" s="270">
        <f>IF($C71&lt;=vars_OWSA,INDEX('Model Inputs'!$D$3:$N$223,MATCH($C71,'Model Inputs'!$D$3:$D$223),7),"")</f>
        <v>0</v>
      </c>
      <c r="I71" s="270">
        <f>IF($C71&lt;=vars_OWSA,INDEX('Model Inputs'!$D$3:$N$223,MATCH($C71,'Model Inputs'!$D$3:$D$223),8),"")</f>
        <v>0</v>
      </c>
      <c r="J71" s="2">
        <v>15493449.976642877</v>
      </c>
      <c r="K71" s="2">
        <v>15493449.976642877</v>
      </c>
      <c r="L71" s="445">
        <f t="shared" ref="L71:L102" si="2">IF(C71&lt;=vars_OWSA,ABS(K71-J71),0)</f>
        <v>0</v>
      </c>
      <c r="M71" s="5"/>
    </row>
    <row r="72" spans="2:13">
      <c r="B72" s="236"/>
      <c r="C72" s="366">
        <v>55</v>
      </c>
      <c r="D72" s="79"/>
      <c r="E72" s="79"/>
      <c r="F72" s="79"/>
      <c r="G72" s="70" t="str">
        <f>IF($C72&lt;=vars_OWSA,INDEX('Model Inputs'!$D$3:$N$223,MATCH($C72,'Model Inputs'!$D$3:$D$223,0),2),"")</f>
        <v>Health Decrement in Custom 4</v>
      </c>
      <c r="H72" s="270">
        <f>IF($C72&lt;=vars_OWSA,INDEX('Model Inputs'!$D$3:$N$223,MATCH($C72,'Model Inputs'!$D$3:$D$223),7),"")</f>
        <v>0</v>
      </c>
      <c r="I72" s="270">
        <f>IF($C72&lt;=vars_OWSA,INDEX('Model Inputs'!$D$3:$N$223,MATCH($C72,'Model Inputs'!$D$3:$D$223),8),"")</f>
        <v>0</v>
      </c>
      <c r="J72" s="2">
        <v>15493449.976642877</v>
      </c>
      <c r="K72" s="2">
        <v>15493449.976642877</v>
      </c>
      <c r="L72" s="445">
        <f t="shared" si="2"/>
        <v>0</v>
      </c>
      <c r="M72" s="5"/>
    </row>
    <row r="73" spans="2:13">
      <c r="B73" s="236"/>
      <c r="C73" s="366">
        <v>56</v>
      </c>
      <c r="D73" s="79"/>
      <c r="E73" s="79"/>
      <c r="F73" s="79"/>
      <c r="G73" s="70" t="str">
        <f>IF($C73&lt;=vars_OWSA,INDEX('Model Inputs'!$D$3:$N$223,MATCH($C73,'Model Inputs'!$D$3:$D$223,0),2),"")</f>
        <v>Average Drug Cost per Dose</v>
      </c>
      <c r="H73" s="270">
        <f>IF($C73&lt;=vars_OWSA,INDEX('Model Inputs'!$D$3:$N$223,MATCH($C73,'Model Inputs'!$D$3:$D$223),7),"")</f>
        <v>0</v>
      </c>
      <c r="I73" s="270">
        <f>IF($C73&lt;=vars_OWSA,INDEX('Model Inputs'!$D$3:$N$223,MATCH($C73,'Model Inputs'!$D$3:$D$223),8),"")</f>
        <v>0</v>
      </c>
      <c r="J73" s="2">
        <v>15493449.976642877</v>
      </c>
      <c r="K73" s="2">
        <v>15493449.976642877</v>
      </c>
      <c r="L73" s="445">
        <f t="shared" si="2"/>
        <v>0</v>
      </c>
      <c r="M73" s="5"/>
    </row>
    <row r="74" spans="2:13">
      <c r="B74" s="236"/>
      <c r="C74" s="366">
        <v>58</v>
      </c>
      <c r="D74" s="79"/>
      <c r="E74" s="79"/>
      <c r="F74" s="79"/>
      <c r="G74" s="70" t="str">
        <f>IF($C74&lt;=vars_OWSA,INDEX('Model Inputs'!$D$3:$N$223,MATCH($C74,'Model Inputs'!$D$3:$D$223,0),2),"")</f>
        <v>Average Unit Cost of very severe pneumonia Management</v>
      </c>
      <c r="H74" s="270">
        <f>IF($C74&lt;=vars_OWSA,INDEX('Model Inputs'!$D$3:$N$223,MATCH($C74,'Model Inputs'!$D$3:$D$223),7),"")</f>
        <v>0</v>
      </c>
      <c r="I74" s="270">
        <f>IF($C74&lt;=vars_OWSA,INDEX('Model Inputs'!$D$3:$N$223,MATCH($C74,'Model Inputs'!$D$3:$D$223),8),"")</f>
        <v>0</v>
      </c>
      <c r="J74" s="2">
        <v>13614273.376642879</v>
      </c>
      <c r="K74" s="2">
        <v>13614273.376642879</v>
      </c>
      <c r="L74" s="445">
        <f t="shared" si="2"/>
        <v>0</v>
      </c>
      <c r="M74" s="5"/>
    </row>
    <row r="75" spans="2:13">
      <c r="B75" s="236"/>
      <c r="C75" s="366">
        <v>59</v>
      </c>
      <c r="D75" s="79"/>
      <c r="E75" s="79"/>
      <c r="F75" s="79"/>
      <c r="G75" s="70" t="str">
        <f>IF($C75&lt;=vars_OWSA,INDEX('Model Inputs'!$D$3:$N$223,MATCH($C75,'Model Inputs'!$D$3:$D$223,0),2),"")</f>
        <v>Average Unit Cost of Custom 3 Management</v>
      </c>
      <c r="H75" s="270">
        <f>IF($C75&lt;=vars_OWSA,INDEX('Model Inputs'!$D$3:$N$223,MATCH($C75,'Model Inputs'!$D$3:$D$223),7),"")</f>
        <v>0</v>
      </c>
      <c r="I75" s="270">
        <f>IF($C75&lt;=vars_OWSA,INDEX('Model Inputs'!$D$3:$N$223,MATCH($C75,'Model Inputs'!$D$3:$D$223),8),"")</f>
        <v>0</v>
      </c>
      <c r="J75" s="2">
        <v>15493449.976642877</v>
      </c>
      <c r="K75" s="2">
        <v>15493449.976642877</v>
      </c>
      <c r="L75" s="445">
        <f t="shared" si="2"/>
        <v>0</v>
      </c>
      <c r="M75" s="5"/>
    </row>
    <row r="76" spans="2:13">
      <c r="B76" s="236"/>
      <c r="C76" s="366">
        <v>60</v>
      </c>
      <c r="D76" s="79"/>
      <c r="E76" s="79"/>
      <c r="F76" s="79"/>
      <c r="G76" s="70" t="str">
        <f>IF($C76&lt;=vars_OWSA,INDEX('Model Inputs'!$D$3:$N$223,MATCH($C76,'Model Inputs'!$D$3:$D$223,0),2),"")</f>
        <v>Average Unit Cost of Custom 4 Management</v>
      </c>
      <c r="H76" s="270">
        <f>IF($C76&lt;=vars_OWSA,INDEX('Model Inputs'!$D$3:$N$223,MATCH($C76,'Model Inputs'!$D$3:$D$223),7),"")</f>
        <v>0</v>
      </c>
      <c r="I76" s="270">
        <f>IF($C76&lt;=vars_OWSA,INDEX('Model Inputs'!$D$3:$N$223,MATCH($C76,'Model Inputs'!$D$3:$D$223),8),"")</f>
        <v>0</v>
      </c>
      <c r="J76" s="2">
        <v>15493449.976642877</v>
      </c>
      <c r="K76" s="2">
        <v>15493449.976642877</v>
      </c>
      <c r="L76" s="445">
        <f t="shared" si="2"/>
        <v>0</v>
      </c>
      <c r="M76" s="5"/>
    </row>
    <row r="77" spans="2:13">
      <c r="B77" s="236"/>
      <c r="C77" s="366">
        <v>63</v>
      </c>
      <c r="D77" s="79"/>
      <c r="E77" s="79"/>
      <c r="F77" s="79"/>
      <c r="G77" s="70" t="str">
        <f>IF($C77&lt;=vars_OWSA,INDEX('Model Inputs'!$D$3:$N$223,MATCH($C77,'Model Inputs'!$D$3:$D$223,0),2),"")</f>
        <v>Proportion of  Substandard and Falsified Medicines 2 at Public Hospitals in the Real-world Scenario</v>
      </c>
      <c r="H77" s="270">
        <f>IF($C77&lt;=vars_OWSA,INDEX('Model Inputs'!$D$3:$N$223,MATCH($C77,'Model Inputs'!$D$3:$D$223),7),"")</f>
        <v>0</v>
      </c>
      <c r="I77" s="270">
        <f>IF($C77&lt;=vars_OWSA,INDEX('Model Inputs'!$D$3:$N$223,MATCH($C77,'Model Inputs'!$D$3:$D$223),8),"")</f>
        <v>0</v>
      </c>
      <c r="J77" s="2">
        <v>15493449.976642877</v>
      </c>
      <c r="K77" s="2">
        <v>15493449.976642877</v>
      </c>
      <c r="L77" s="445">
        <f t="shared" si="2"/>
        <v>0</v>
      </c>
      <c r="M77" s="5"/>
    </row>
    <row r="78" spans="2:13">
      <c r="C78" s="366">
        <v>65</v>
      </c>
      <c r="D78" s="79"/>
      <c r="E78" s="79"/>
      <c r="F78" s="79"/>
      <c r="G78" s="70" t="str">
        <f>IF($C78&lt;=vars_OWSA,INDEX('Model Inputs'!$D$3:$N$223,MATCH($C78,'Model Inputs'!$D$3:$D$223,0),2),"")</f>
        <v>Proportion of Standard Quality Medicines at Public Hospitals in the Real-world Scenario</v>
      </c>
      <c r="H78" s="270">
        <f>IF($C78&lt;=vars_OWSA,INDEX('Model Inputs'!$D$3:$N$223,MATCH($C78,'Model Inputs'!$D$3:$D$223),7),"")</f>
        <v>0.77</v>
      </c>
      <c r="I78" s="270">
        <f>IF($C78&lt;=vars_OWSA,INDEX('Model Inputs'!$D$3:$N$223,MATCH($C78,'Model Inputs'!$D$3:$D$223),8),"")</f>
        <v>1</v>
      </c>
      <c r="J78" s="2">
        <v>15493449.976642877</v>
      </c>
      <c r="K78" s="2">
        <v>15493449.976642877</v>
      </c>
      <c r="L78" s="445">
        <f t="shared" si="2"/>
        <v>0</v>
      </c>
      <c r="M78" s="5"/>
    </row>
    <row r="79" spans="2:13">
      <c r="C79" s="366">
        <v>67</v>
      </c>
      <c r="D79" s="79"/>
      <c r="E79" s="79"/>
      <c r="F79" s="79"/>
      <c r="G79" s="70" t="str">
        <f>IF($C79&lt;=vars_OWSA,INDEX('Model Inputs'!$D$3:$N$223,MATCH($C79,'Model Inputs'!$D$3:$D$223,0),2),"")</f>
        <v>Proportion of Substandard and Falsified Medicines 2 at Public Health Centers in the Real-world Scenario</v>
      </c>
      <c r="H79" s="270">
        <f>IF($C79&lt;=vars_OWSA,INDEX('Model Inputs'!$D$3:$N$223,MATCH($C79,'Model Inputs'!$D$3:$D$223),7),"")</f>
        <v>0</v>
      </c>
      <c r="I79" s="270">
        <f>IF($C79&lt;=vars_OWSA,INDEX('Model Inputs'!$D$3:$N$223,MATCH($C79,'Model Inputs'!$D$3:$D$223),8),"")</f>
        <v>0</v>
      </c>
      <c r="J79" s="2">
        <v>15493449.976642877</v>
      </c>
      <c r="K79" s="2">
        <v>15493449.976642877</v>
      </c>
      <c r="L79" s="445">
        <f t="shared" si="2"/>
        <v>0</v>
      </c>
      <c r="M79" s="5"/>
    </row>
    <row r="80" spans="2:13">
      <c r="C80" s="366">
        <v>67</v>
      </c>
      <c r="D80" s="79"/>
      <c r="E80" s="79"/>
      <c r="F80" s="79"/>
      <c r="G80" s="70" t="str">
        <f>IF($C80&lt;=vars_OWSA,INDEX('Model Inputs'!$D$3:$N$223,MATCH($C80,'Model Inputs'!$D$3:$D$223,0),2),"")</f>
        <v>Proportion of Substandard and Falsified Medicines 2 at Public Health Centers in the Real-world Scenario</v>
      </c>
      <c r="H80" s="270">
        <f>IF($C80&lt;=vars_OWSA,INDEX('Model Inputs'!$D$3:$N$223,MATCH($C80,'Model Inputs'!$D$3:$D$223),7),"")</f>
        <v>0</v>
      </c>
      <c r="I80" s="270">
        <f>IF($C80&lt;=vars_OWSA,INDEX('Model Inputs'!$D$3:$N$223,MATCH($C80,'Model Inputs'!$D$3:$D$223),8),"")</f>
        <v>0</v>
      </c>
      <c r="J80" s="2">
        <v>15493449.976642877</v>
      </c>
      <c r="K80" s="2">
        <v>15493449.976642877</v>
      </c>
      <c r="L80" s="445">
        <f t="shared" si="2"/>
        <v>0</v>
      </c>
      <c r="M80" s="5"/>
    </row>
    <row r="81" spans="3:13">
      <c r="C81" s="366">
        <v>69</v>
      </c>
      <c r="D81" s="79"/>
      <c r="E81" s="79"/>
      <c r="F81" s="79"/>
      <c r="G81" s="70" t="str">
        <f>IF($C81&lt;=vars_OWSA,INDEX('Model Inputs'!$D$3:$N$223,MATCH($C81,'Model Inputs'!$D$3:$D$223,0),2),"")</f>
        <v>Proportion of Standard Quality Medicines at Public Health Centers in the  Real-world Scenario</v>
      </c>
      <c r="H81" s="270">
        <f>IF($C81&lt;=vars_OWSA,INDEX('Model Inputs'!$D$3:$N$223,MATCH($C81,'Model Inputs'!$D$3:$D$223),7),"")</f>
        <v>0.77</v>
      </c>
      <c r="I81" s="270">
        <f>IF($C81&lt;=vars_OWSA,INDEX('Model Inputs'!$D$3:$N$223,MATCH($C81,'Model Inputs'!$D$3:$D$223),8),"")</f>
        <v>1</v>
      </c>
      <c r="J81" s="2">
        <v>15493449.976642877</v>
      </c>
      <c r="K81" s="2">
        <v>15493449.976642877</v>
      </c>
      <c r="L81" s="445">
        <f t="shared" si="2"/>
        <v>0</v>
      </c>
      <c r="M81" s="5"/>
    </row>
    <row r="82" spans="3:13">
      <c r="C82" s="366">
        <v>71</v>
      </c>
      <c r="D82" s="79"/>
      <c r="E82" s="79"/>
      <c r="F82" s="79"/>
      <c r="G82" s="70" t="str">
        <f>IF($C82&lt;=vars_OWSA,INDEX('Model Inputs'!$D$3:$N$223,MATCH($C82,'Model Inputs'!$D$3:$D$223,0),2),"")</f>
        <v>Proportion of Substandard and Falsified Medicines 2 at Private Hospitals in the  Real-world Scenario</v>
      </c>
      <c r="H82" s="270">
        <f>IF($C82&lt;=vars_OWSA,INDEX('Model Inputs'!$D$3:$N$223,MATCH($C82,'Model Inputs'!$D$3:$D$223),7),"")</f>
        <v>0</v>
      </c>
      <c r="I82" s="270">
        <f>IF($C82&lt;=vars_OWSA,INDEX('Model Inputs'!$D$3:$N$223,MATCH($C82,'Model Inputs'!$D$3:$D$223),8),"")</f>
        <v>0</v>
      </c>
      <c r="J82" s="2">
        <v>15493449.976642877</v>
      </c>
      <c r="K82" s="2">
        <v>15493449.976642877</v>
      </c>
      <c r="L82" s="445">
        <f t="shared" si="2"/>
        <v>0</v>
      </c>
      <c r="M82" s="5"/>
    </row>
    <row r="83" spans="3:13">
      <c r="C83" s="366">
        <v>73</v>
      </c>
      <c r="D83" s="79"/>
      <c r="E83" s="79"/>
      <c r="F83" s="79"/>
      <c r="G83" s="70" t="str">
        <f>IF($C83&lt;=vars_OWSA,INDEX('Model Inputs'!$D$3:$N$223,MATCH($C83,'Model Inputs'!$D$3:$D$223,0),2),"")</f>
        <v>Proportion of Standard Quality Medicines at Private Hospitals in the  Real-world Scenario</v>
      </c>
      <c r="H83" s="270">
        <f>IF($C83&lt;=vars_OWSA,INDEX('Model Inputs'!$D$3:$N$223,MATCH($C83,'Model Inputs'!$D$3:$D$223),7),"")</f>
        <v>0.77</v>
      </c>
      <c r="I83" s="270">
        <f>IF($C83&lt;=vars_OWSA,INDEX('Model Inputs'!$D$3:$N$223,MATCH($C83,'Model Inputs'!$D$3:$D$223),8),"")</f>
        <v>1</v>
      </c>
      <c r="J83" s="2">
        <v>15493449.976642877</v>
      </c>
      <c r="K83" s="2">
        <v>15493449.976642877</v>
      </c>
      <c r="L83" s="445">
        <f t="shared" si="2"/>
        <v>0</v>
      </c>
      <c r="M83" s="5"/>
    </row>
    <row r="84" spans="3:13">
      <c r="C84" s="366">
        <v>75</v>
      </c>
      <c r="D84" s="79"/>
      <c r="E84" s="79"/>
      <c r="F84" s="79"/>
      <c r="G84" s="70" t="str">
        <f>IF($C84&lt;=vars_OWSA,INDEX('Model Inputs'!$D$3:$N$223,MATCH($C84,'Model Inputs'!$D$3:$D$223,0),2),"")</f>
        <v>Proportion of Substandard and Falsified Medicines 2 at Private Pharmacies in the  Real-world Scenario</v>
      </c>
      <c r="H84" s="270">
        <f>IF($C84&lt;=vars_OWSA,INDEX('Model Inputs'!$D$3:$N$223,MATCH($C84,'Model Inputs'!$D$3:$D$223),7),"")</f>
        <v>0</v>
      </c>
      <c r="I84" s="270">
        <f>IF($C84&lt;=vars_OWSA,INDEX('Model Inputs'!$D$3:$N$223,MATCH($C84,'Model Inputs'!$D$3:$D$223),8),"")</f>
        <v>0</v>
      </c>
      <c r="J84" s="2">
        <v>15493449.976642877</v>
      </c>
      <c r="K84" s="2">
        <v>15493449.976642877</v>
      </c>
      <c r="L84" s="445">
        <f t="shared" si="2"/>
        <v>0</v>
      </c>
      <c r="M84" s="5"/>
    </row>
    <row r="85" spans="3:13">
      <c r="C85" s="366">
        <v>77</v>
      </c>
      <c r="D85" s="79"/>
      <c r="E85" s="79"/>
      <c r="F85" s="79"/>
      <c r="G85" s="70" t="str">
        <f>IF($C85&lt;=vars_OWSA,INDEX('Model Inputs'!$D$3:$N$223,MATCH($C85,'Model Inputs'!$D$3:$D$223,0),2),"")</f>
        <v>Proportion of Standard Quality Medicines at Private Pharmacies in the  Real-world Scenario</v>
      </c>
      <c r="H85" s="270">
        <f>IF($C85&lt;=vars_OWSA,INDEX('Model Inputs'!$D$3:$N$223,MATCH($C85,'Model Inputs'!$D$3:$D$223),7),"")</f>
        <v>0.77</v>
      </c>
      <c r="I85" s="270">
        <f>IF($C85&lt;=vars_OWSA,INDEX('Model Inputs'!$D$3:$N$223,MATCH($C85,'Model Inputs'!$D$3:$D$223),8),"")</f>
        <v>1</v>
      </c>
      <c r="J85" s="2">
        <v>15493449.976642877</v>
      </c>
      <c r="K85" s="2">
        <v>15493449.976642877</v>
      </c>
      <c r="L85" s="445">
        <f t="shared" si="2"/>
        <v>0</v>
      </c>
      <c r="M85" s="5"/>
    </row>
    <row r="86" spans="3:13">
      <c r="C86" s="366">
        <v>79</v>
      </c>
      <c r="D86" s="79"/>
      <c r="E86" s="79"/>
      <c r="F86" s="79"/>
      <c r="G86" s="70" t="str">
        <f>IF($C86&lt;=vars_OWSA,INDEX('Model Inputs'!$D$3:$N$223,MATCH($C86,'Model Inputs'!$D$3:$D$223,0),2),"")</f>
        <v>Proportion of Substandard and Falsified Medicines 2 at Private "Other Locations" in the  Real-world Scenario</v>
      </c>
      <c r="H86" s="270">
        <f>IF($C86&lt;=vars_OWSA,INDEX('Model Inputs'!$D$3:$N$223,MATCH($C86,'Model Inputs'!$D$3:$D$223),7),"")</f>
        <v>0</v>
      </c>
      <c r="I86" s="270">
        <f>IF($C86&lt;=vars_OWSA,INDEX('Model Inputs'!$D$3:$N$223,MATCH($C86,'Model Inputs'!$D$3:$D$223),8),"")</f>
        <v>0</v>
      </c>
      <c r="J86" s="2">
        <v>15493449.976642877</v>
      </c>
      <c r="K86" s="2">
        <v>15493449.976642877</v>
      </c>
      <c r="L86" s="445">
        <f t="shared" si="2"/>
        <v>0</v>
      </c>
      <c r="M86" s="5"/>
    </row>
    <row r="87" spans="3:13">
      <c r="C87" s="366">
        <v>81</v>
      </c>
      <c r="D87" s="79"/>
      <c r="E87" s="79"/>
      <c r="F87" s="79"/>
      <c r="G87" s="70" t="str">
        <f>IF($C87&lt;=vars_OWSA,INDEX('Model Inputs'!$D$3:$N$223,MATCH($C87,'Model Inputs'!$D$3:$D$223,0),2),"")</f>
        <v>Proportion of Standard Quality Medicines at Private "Other Locations" in the  Real-world Scenario</v>
      </c>
      <c r="H87" s="270">
        <f>IF($C87&lt;=vars_OWSA,INDEX('Model Inputs'!$D$3:$N$223,MATCH($C87,'Model Inputs'!$D$3:$D$223),7),"")</f>
        <v>0.77</v>
      </c>
      <c r="I87" s="270">
        <f>IF($C87&lt;=vars_OWSA,INDEX('Model Inputs'!$D$3:$N$223,MATCH($C87,'Model Inputs'!$D$3:$D$223),8),"")</f>
        <v>1</v>
      </c>
      <c r="J87" s="2">
        <v>15493449.976642877</v>
      </c>
      <c r="K87" s="2">
        <v>15493449.976642877</v>
      </c>
      <c r="L87" s="445">
        <f t="shared" si="2"/>
        <v>0</v>
      </c>
      <c r="M87" s="5"/>
    </row>
    <row r="88" spans="3:13">
      <c r="C88" s="366">
        <v>82</v>
      </c>
      <c r="D88" s="79"/>
      <c r="E88" s="79"/>
      <c r="F88" s="79"/>
      <c r="G88" s="70" t="str">
        <f>IF($C88&lt;=vars_OWSA,INDEX('Model Inputs'!$D$3:$N$223,MATCH($C88,'Model Inputs'!$D$3:$D$223,0),2),"")</f>
        <v>Proportion of Substandard and Falsified Medicines 1 at "Other Locations"  in  the  Real-world Scenario</v>
      </c>
      <c r="H88" s="270">
        <f>IF($C88&lt;=vars_OWSA,INDEX('Model Inputs'!$D$3:$N$223,MATCH($C88,'Model Inputs'!$D$3:$D$223),7),"")</f>
        <v>0</v>
      </c>
      <c r="I88" s="270">
        <f>IF($C88&lt;=vars_OWSA,INDEX('Model Inputs'!$D$3:$N$223,MATCH($C88,'Model Inputs'!$D$3:$D$223),8),"")</f>
        <v>0.15</v>
      </c>
      <c r="J88" s="2">
        <v>15493449.976642877</v>
      </c>
      <c r="K88" s="2">
        <v>15493449.976642877</v>
      </c>
      <c r="L88" s="445">
        <f t="shared" si="2"/>
        <v>0</v>
      </c>
      <c r="M88" s="5"/>
    </row>
    <row r="89" spans="3:13">
      <c r="C89" s="366">
        <v>83</v>
      </c>
      <c r="D89" s="79"/>
      <c r="E89" s="79"/>
      <c r="F89" s="79"/>
      <c r="G89" s="70" t="str">
        <f>IF($C89&lt;=vars_OWSA,INDEX('Model Inputs'!$D$3:$N$223,MATCH($C89,'Model Inputs'!$D$3:$D$223,0),2),"")</f>
        <v>Proportion of Substandard and Falsified Medicines 2 at  "Other Locations" in the Real-world Scenario</v>
      </c>
      <c r="H89" s="270">
        <f>IF($C89&lt;=vars_OWSA,INDEX('Model Inputs'!$D$3:$N$223,MATCH($C89,'Model Inputs'!$D$3:$D$223),7),"")</f>
        <v>0</v>
      </c>
      <c r="I89" s="270">
        <f>IF($C89&lt;=vars_OWSA,INDEX('Model Inputs'!$D$3:$N$223,MATCH($C89,'Model Inputs'!$D$3:$D$223),8),"")</f>
        <v>0</v>
      </c>
      <c r="J89" s="2">
        <v>15493449.976642877</v>
      </c>
      <c r="K89" s="2">
        <v>15493449.976642877</v>
      </c>
      <c r="L89" s="445">
        <f t="shared" si="2"/>
        <v>0</v>
      </c>
      <c r="M89" s="5"/>
    </row>
    <row r="90" spans="3:13">
      <c r="C90" s="366">
        <v>84</v>
      </c>
      <c r="D90" s="79"/>
      <c r="E90" s="79"/>
      <c r="F90" s="79"/>
      <c r="G90" s="70" t="str">
        <f>IF($C90&lt;=vars_OWSA,INDEX('Model Inputs'!$D$3:$N$223,MATCH($C90,'Model Inputs'!$D$3:$D$223,0),2),"")</f>
        <v>Proportion of   Substandard and Falsified Medicines 3 at  "Other Locations" in the Real-world Scenario</v>
      </c>
      <c r="H90" s="270">
        <f>IF($C90&lt;=vars_OWSA,INDEX('Model Inputs'!$D$3:$N$223,MATCH($C90,'Model Inputs'!$D$3:$D$223),7),"")</f>
        <v>0</v>
      </c>
      <c r="I90" s="270">
        <f>IF($C90&lt;=vars_OWSA,INDEX('Model Inputs'!$D$3:$N$223,MATCH($C90,'Model Inputs'!$D$3:$D$223),8),"")</f>
        <v>0.08</v>
      </c>
      <c r="J90" s="2">
        <v>15493449.976642877</v>
      </c>
      <c r="K90" s="2">
        <v>15493449.976642877</v>
      </c>
      <c r="L90" s="445">
        <f t="shared" si="2"/>
        <v>0</v>
      </c>
      <c r="M90" s="5"/>
    </row>
    <row r="91" spans="3:13">
      <c r="C91" s="366">
        <v>85</v>
      </c>
      <c r="D91" s="79"/>
      <c r="E91" s="79"/>
      <c r="F91" s="79"/>
      <c r="G91" s="70" t="str">
        <f>IF($C91&lt;=vars_OWSA,INDEX('Model Inputs'!$D$3:$N$223,MATCH($C91,'Model Inputs'!$D$3:$D$223,0),2),"")</f>
        <v>Proportion of Standard Quality Medicines at  "Other Locations" in the  Real-world Scenario</v>
      </c>
      <c r="H91" s="270">
        <f>IF($C91&lt;=vars_OWSA,INDEX('Model Inputs'!$D$3:$N$223,MATCH($C91,'Model Inputs'!$D$3:$D$223),7),"")</f>
        <v>0.77</v>
      </c>
      <c r="I91" s="270">
        <f>IF($C91&lt;=vars_OWSA,INDEX('Model Inputs'!$D$3:$N$223,MATCH($C91,'Model Inputs'!$D$3:$D$223),8),"")</f>
        <v>1</v>
      </c>
      <c r="J91" s="2">
        <v>15493449.976642877</v>
      </c>
      <c r="K91" s="2">
        <v>15493449.976642877</v>
      </c>
      <c r="L91" s="445">
        <f t="shared" si="2"/>
        <v>0</v>
      </c>
      <c r="M91" s="5"/>
    </row>
    <row r="92" spans="3:13">
      <c r="C92" s="366">
        <v>86</v>
      </c>
      <c r="D92" s="79"/>
      <c r="E92" s="79"/>
      <c r="F92" s="79"/>
      <c r="G92" s="70" t="str">
        <f>IF($C92&lt;=vars_OWSA,INDEX('Model Inputs'!$D$3:$N$223,MATCH($C92,'Model Inputs'!$D$3:$D$223,0),2),"")</f>
        <v>Proportion of  Substandard and Falsified Medicines 1 at Public Hospitals in  the idea-world scenario</v>
      </c>
      <c r="H92" s="270">
        <f>IF($C92&lt;=vars_OWSA,INDEX('Model Inputs'!$D$3:$N$223,MATCH($C92,'Model Inputs'!$D$3:$D$223),7),"")</f>
        <v>0</v>
      </c>
      <c r="I92" s="270">
        <f>IF($C92&lt;=vars_OWSA,INDEX('Model Inputs'!$D$3:$N$223,MATCH($C92,'Model Inputs'!$D$3:$D$223),8),"")</f>
        <v>0</v>
      </c>
      <c r="J92" s="2">
        <v>15493449.976642877</v>
      </c>
      <c r="K92" s="2">
        <v>15493449.976642877</v>
      </c>
      <c r="L92" s="445">
        <f t="shared" si="2"/>
        <v>0</v>
      </c>
      <c r="M92" s="5"/>
    </row>
    <row r="93" spans="3:13">
      <c r="C93" s="366">
        <v>87</v>
      </c>
      <c r="D93" s="79"/>
      <c r="E93" s="79"/>
      <c r="F93" s="79"/>
      <c r="G93" s="70" t="str">
        <f>IF($C93&lt;=vars_OWSA,INDEX('Model Inputs'!$D$3:$N$223,MATCH($C93,'Model Inputs'!$D$3:$D$223,0),2),"")</f>
        <v>Proportion of  Substandard and Falsified Medicines 2 at Public Hospitals in the ideal-world scenario</v>
      </c>
      <c r="H93" s="270">
        <f>IF($C93&lt;=vars_OWSA,INDEX('Model Inputs'!$D$3:$N$223,MATCH($C93,'Model Inputs'!$D$3:$D$223),7),"")</f>
        <v>0</v>
      </c>
      <c r="I93" s="270">
        <f>IF($C93&lt;=vars_OWSA,INDEX('Model Inputs'!$D$3:$N$223,MATCH($C93,'Model Inputs'!$D$3:$D$223),8),"")</f>
        <v>0</v>
      </c>
      <c r="J93" s="2">
        <v>15493449.976642877</v>
      </c>
      <c r="K93" s="2">
        <v>15493449.976642877</v>
      </c>
      <c r="L93" s="445">
        <f t="shared" si="2"/>
        <v>0</v>
      </c>
      <c r="M93" s="5"/>
    </row>
    <row r="94" spans="3:13">
      <c r="C94" s="366">
        <v>88</v>
      </c>
      <c r="D94" s="79"/>
      <c r="E94" s="79"/>
      <c r="F94" s="79"/>
      <c r="G94" s="70" t="str">
        <f>IF($C94&lt;=vars_OWSA,INDEX('Model Inputs'!$D$3:$N$223,MATCH($C94,'Model Inputs'!$D$3:$D$223,0),2),"")</f>
        <v>Proportion of  Substandard and Falsified Medicines 3 at Public Hospitals in the ideal-world scenario</v>
      </c>
      <c r="H94" s="270">
        <f>IF($C94&lt;=vars_OWSA,INDEX('Model Inputs'!$D$3:$N$223,MATCH($C94,'Model Inputs'!$D$3:$D$223),7),"")</f>
        <v>0</v>
      </c>
      <c r="I94" s="270">
        <f>IF($C94&lt;=vars_OWSA,INDEX('Model Inputs'!$D$3:$N$223,MATCH($C94,'Model Inputs'!$D$3:$D$223),8),"")</f>
        <v>0</v>
      </c>
      <c r="J94" s="2">
        <v>15493449.976642877</v>
      </c>
      <c r="K94" s="2">
        <v>15493449.976642877</v>
      </c>
      <c r="L94" s="445">
        <f t="shared" si="2"/>
        <v>0</v>
      </c>
      <c r="M94" s="5"/>
    </row>
    <row r="95" spans="3:13">
      <c r="C95" s="366">
        <v>89</v>
      </c>
      <c r="D95" s="79"/>
      <c r="E95" s="79"/>
      <c r="F95" s="79"/>
      <c r="G95" s="70" t="str">
        <f>IF($C95&lt;=vars_OWSA,INDEX('Model Inputs'!$D$3:$N$223,MATCH($C95,'Model Inputs'!$D$3:$D$223,0),2),"")</f>
        <v>Proportion of Standard Quality Medicines at Public Hospitals in the  ideal-world scenario</v>
      </c>
      <c r="H95" s="270">
        <f>IF($C95&lt;=vars_OWSA,INDEX('Model Inputs'!$D$3:$N$223,MATCH($C95,'Model Inputs'!$D$3:$D$223),7),"")</f>
        <v>0</v>
      </c>
      <c r="I95" s="270">
        <f>IF($C95&lt;=vars_OWSA,INDEX('Model Inputs'!$D$3:$N$223,MATCH($C95,'Model Inputs'!$D$3:$D$223),8),"")</f>
        <v>0</v>
      </c>
      <c r="J95" s="2">
        <v>34336803.588950306</v>
      </c>
      <c r="K95" s="2">
        <v>34336803.588950306</v>
      </c>
      <c r="L95" s="445">
        <f t="shared" si="2"/>
        <v>0</v>
      </c>
      <c r="M95" s="5"/>
    </row>
    <row r="96" spans="3:13">
      <c r="C96" s="366">
        <v>90</v>
      </c>
      <c r="D96" s="79"/>
      <c r="E96" s="79"/>
      <c r="F96" s="79"/>
      <c r="G96" s="70" t="str">
        <f>IF($C96&lt;=vars_OWSA,INDEX('Model Inputs'!$D$3:$N$223,MATCH($C96,'Model Inputs'!$D$3:$D$223,0),2),"")</f>
        <v>Proportion of  Substandard and Falsified Medicines 1 at Public Health Centers in  the ideal-world scenario</v>
      </c>
      <c r="H96" s="270">
        <f>IF($C96&lt;=vars_OWSA,INDEX('Model Inputs'!$D$3:$N$223,MATCH($C96,'Model Inputs'!$D$3:$D$223),7),"")</f>
        <v>0</v>
      </c>
      <c r="I96" s="270">
        <f>IF($C96&lt;=vars_OWSA,INDEX('Model Inputs'!$D$3:$N$223,MATCH($C96,'Model Inputs'!$D$3:$D$223),8),"")</f>
        <v>0</v>
      </c>
      <c r="J96" s="2">
        <v>15493449.976642877</v>
      </c>
      <c r="K96" s="2">
        <v>15493449.976642877</v>
      </c>
      <c r="L96" s="445">
        <f t="shared" si="2"/>
        <v>0</v>
      </c>
      <c r="M96" s="5"/>
    </row>
    <row r="97" spans="3:13">
      <c r="C97" s="366">
        <v>91</v>
      </c>
      <c r="D97" s="79"/>
      <c r="E97" s="79"/>
      <c r="F97" s="79"/>
      <c r="G97" s="70" t="str">
        <f>IF($C97&lt;=vars_OWSA,INDEX('Model Inputs'!$D$3:$N$223,MATCH($C97,'Model Inputs'!$D$3:$D$223,0),2),"")</f>
        <v>Proportion of  Substandard and Falsified Medicines 2 at Public Health Centers in the ideal-world scenario</v>
      </c>
      <c r="H97" s="270">
        <f>IF($C97&lt;=vars_OWSA,INDEX('Model Inputs'!$D$3:$N$223,MATCH($C97,'Model Inputs'!$D$3:$D$223),7),"")</f>
        <v>0</v>
      </c>
      <c r="I97" s="270">
        <f>IF($C97&lt;=vars_OWSA,INDEX('Model Inputs'!$D$3:$N$223,MATCH($C97,'Model Inputs'!$D$3:$D$223),8),"")</f>
        <v>0</v>
      </c>
      <c r="J97" s="2">
        <v>15493449.976642877</v>
      </c>
      <c r="K97" s="2">
        <v>15493449.976642877</v>
      </c>
      <c r="L97" s="445">
        <f t="shared" si="2"/>
        <v>0</v>
      </c>
      <c r="M97" s="5"/>
    </row>
    <row r="98" spans="3:13">
      <c r="C98" s="366">
        <v>92</v>
      </c>
      <c r="D98" s="79"/>
      <c r="E98" s="79"/>
      <c r="F98" s="79"/>
      <c r="G98" s="70" t="str">
        <f>IF($C98&lt;=vars_OWSA,INDEX('Model Inputs'!$D$3:$N$223,MATCH($C98,'Model Inputs'!$D$3:$D$223,0),2),"")</f>
        <v>Proportion of  Substandard and Falsified Medicines 3 at Public Health Centers in the ideal-world scenario</v>
      </c>
      <c r="H98" s="270">
        <f>IF($C98&lt;=vars_OWSA,INDEX('Model Inputs'!$D$3:$N$223,MATCH($C98,'Model Inputs'!$D$3:$D$223),7),"")</f>
        <v>0</v>
      </c>
      <c r="I98" s="270">
        <f>IF($C98&lt;=vars_OWSA,INDEX('Model Inputs'!$D$3:$N$223,MATCH($C98,'Model Inputs'!$D$3:$D$223),8),"")</f>
        <v>0</v>
      </c>
      <c r="J98" s="2">
        <v>15493449.976642877</v>
      </c>
      <c r="K98" s="2">
        <v>15493449.976642877</v>
      </c>
      <c r="L98" s="445">
        <f t="shared" si="2"/>
        <v>0</v>
      </c>
      <c r="M98" s="5"/>
    </row>
    <row r="99" spans="3:13">
      <c r="C99" s="366">
        <v>93</v>
      </c>
      <c r="D99" s="79"/>
      <c r="E99" s="79"/>
      <c r="F99" s="79"/>
      <c r="G99" s="70" t="str">
        <f>IF($C99&lt;=vars_OWSA,INDEX('Model Inputs'!$D$3:$N$223,MATCH($C99,'Model Inputs'!$D$3:$D$223,0),2),"")</f>
        <v>Proportion of Standard Quality Medicines at Public Health Centers in the ideal-world scenario</v>
      </c>
      <c r="H99" s="270">
        <f>IF($C99&lt;=vars_OWSA,INDEX('Model Inputs'!$D$3:$N$223,MATCH($C99,'Model Inputs'!$D$3:$D$223),7),"")</f>
        <v>0</v>
      </c>
      <c r="I99" s="270">
        <f>IF($C99&lt;=vars_OWSA,INDEX('Model Inputs'!$D$3:$N$223,MATCH($C99,'Model Inputs'!$D$3:$D$223),8),"")</f>
        <v>0</v>
      </c>
      <c r="J99" s="2">
        <v>34336803.588950306</v>
      </c>
      <c r="K99" s="2">
        <v>34336803.588950306</v>
      </c>
      <c r="L99" s="445">
        <f t="shared" si="2"/>
        <v>0</v>
      </c>
      <c r="M99" s="5"/>
    </row>
    <row r="100" spans="3:13">
      <c r="C100" s="366">
        <v>94</v>
      </c>
      <c r="D100" s="79"/>
      <c r="E100" s="79"/>
      <c r="F100" s="79"/>
      <c r="G100" s="70" t="str">
        <f>IF($C100&lt;=vars_OWSA,INDEX('Model Inputs'!$D$3:$N$223,MATCH($C100,'Model Inputs'!$D$3:$D$223,0),2),"")</f>
        <v>Proportion of  Substandard and Falsified Medicines 1 at Private Hospitals in the ideal-world scenario</v>
      </c>
      <c r="H100" s="270">
        <f>IF($C100&lt;=vars_OWSA,INDEX('Model Inputs'!$D$3:$N$223,MATCH($C100,'Model Inputs'!$D$3:$D$223),7),"")</f>
        <v>0</v>
      </c>
      <c r="I100" s="270">
        <f>IF($C100&lt;=vars_OWSA,INDEX('Model Inputs'!$D$3:$N$223,MATCH($C100,'Model Inputs'!$D$3:$D$223),8),"")</f>
        <v>0</v>
      </c>
      <c r="J100" s="2">
        <v>15493449.976642877</v>
      </c>
      <c r="K100" s="2">
        <v>15493449.976642877</v>
      </c>
      <c r="L100" s="445">
        <f t="shared" si="2"/>
        <v>0</v>
      </c>
      <c r="M100" s="5"/>
    </row>
    <row r="101" spans="3:13">
      <c r="C101" s="366">
        <v>95</v>
      </c>
      <c r="D101" s="79"/>
      <c r="E101" s="79"/>
      <c r="F101" s="79"/>
      <c r="G101" s="70" t="str">
        <f>IF($C101&lt;=vars_OWSA,INDEX('Model Inputs'!$D$3:$N$223,MATCH($C101,'Model Inputs'!$D$3:$D$223,0),2),"")</f>
        <v>Proportion of Substandard and Falsified Medicines 2 Medicines at Private Hospitals in the ideal-world scenario</v>
      </c>
      <c r="H101" s="270">
        <f>IF($C101&lt;=vars_OWSA,INDEX('Model Inputs'!$D$3:$N$223,MATCH($C101,'Model Inputs'!$D$3:$D$223),7),"")</f>
        <v>0</v>
      </c>
      <c r="I101" s="270">
        <f>IF($C101&lt;=vars_OWSA,INDEX('Model Inputs'!$D$3:$N$223,MATCH($C101,'Model Inputs'!$D$3:$D$223),8),"")</f>
        <v>0</v>
      </c>
      <c r="J101" s="2">
        <v>15493449.976642877</v>
      </c>
      <c r="K101" s="2">
        <v>15493449.976642877</v>
      </c>
      <c r="L101" s="445">
        <f t="shared" si="2"/>
        <v>0</v>
      </c>
      <c r="M101" s="5"/>
    </row>
    <row r="102" spans="3:13">
      <c r="C102" s="366">
        <v>96</v>
      </c>
      <c r="D102" s="79"/>
      <c r="E102" s="79"/>
      <c r="F102" s="79"/>
      <c r="G102" s="70" t="str">
        <f>IF($C102&lt;=vars_OWSA,INDEX('Model Inputs'!$D$3:$N$223,MATCH($C102,'Model Inputs'!$D$3:$D$223,0),2),"")</f>
        <v>Proportion of  Substandard and Falsified Medicines 3 at Private Hospitals in the ideal-world scenario</v>
      </c>
      <c r="H102" s="270">
        <f>IF($C102&lt;=vars_OWSA,INDEX('Model Inputs'!$D$3:$N$223,MATCH($C102,'Model Inputs'!$D$3:$D$223),7),"")</f>
        <v>0</v>
      </c>
      <c r="I102" s="270">
        <f>IF($C102&lt;=vars_OWSA,INDEX('Model Inputs'!$D$3:$N$223,MATCH($C102,'Model Inputs'!$D$3:$D$223),8),"")</f>
        <v>0</v>
      </c>
      <c r="J102" s="2">
        <v>15493449.976642877</v>
      </c>
      <c r="K102" s="2">
        <v>15493449.976642877</v>
      </c>
      <c r="L102" s="445">
        <f t="shared" si="2"/>
        <v>0</v>
      </c>
      <c r="M102" s="5"/>
    </row>
    <row r="103" spans="3:13">
      <c r="C103" s="366">
        <v>97</v>
      </c>
      <c r="D103" s="79"/>
      <c r="E103" s="79"/>
      <c r="F103" s="79"/>
      <c r="G103" s="70" t="str">
        <f>IF($C103&lt;=vars_OWSA,INDEX('Model Inputs'!$D$3:$N$223,MATCH($C103,'Model Inputs'!$D$3:$D$223,0),2),"")</f>
        <v>Proportion of Standard Quality Medicines at Private Hospitals in the ideal-world scenario</v>
      </c>
      <c r="H103" s="270">
        <f>IF($C103&lt;=vars_OWSA,INDEX('Model Inputs'!$D$3:$N$223,MATCH($C103,'Model Inputs'!$D$3:$D$223),7),"")</f>
        <v>0</v>
      </c>
      <c r="I103" s="270">
        <f>IF($C103&lt;=vars_OWSA,INDEX('Model Inputs'!$D$3:$N$223,MATCH($C103,'Model Inputs'!$D$3:$D$223),8),"")</f>
        <v>0</v>
      </c>
      <c r="J103" s="2">
        <v>28055685.718181163</v>
      </c>
      <c r="K103" s="2">
        <v>28055685.718181163</v>
      </c>
      <c r="L103" s="445">
        <f t="shared" ref="L103:L134" si="3">IF(C103&lt;=vars_OWSA,ABS(K103-J103),0)</f>
        <v>0</v>
      </c>
      <c r="M103" s="5"/>
    </row>
    <row r="104" spans="3:13">
      <c r="C104" s="366">
        <v>98</v>
      </c>
      <c r="D104" s="79"/>
      <c r="E104" s="79"/>
      <c r="F104" s="79"/>
      <c r="G104" s="70" t="str">
        <f>IF($C104&lt;=vars_OWSA,INDEX('Model Inputs'!$D$3:$N$223,MATCH($C104,'Model Inputs'!$D$3:$D$223,0),2),"")</f>
        <v>Proportion of  Substandard and Falsified Medicines 1 at Private Pharmacies in  the ideal-world scenario</v>
      </c>
      <c r="H104" s="270">
        <f>IF($C104&lt;=vars_OWSA,INDEX('Model Inputs'!$D$3:$N$223,MATCH($C104,'Model Inputs'!$D$3:$D$223),7),"")</f>
        <v>0</v>
      </c>
      <c r="I104" s="270">
        <f>IF($C104&lt;=vars_OWSA,INDEX('Model Inputs'!$D$3:$N$223,MATCH($C104,'Model Inputs'!$D$3:$D$223),8),"")</f>
        <v>0</v>
      </c>
      <c r="J104" s="2">
        <v>15493449.976642877</v>
      </c>
      <c r="K104" s="2">
        <v>15493449.976642877</v>
      </c>
      <c r="L104" s="445">
        <f t="shared" si="3"/>
        <v>0</v>
      </c>
      <c r="M104" s="5"/>
    </row>
    <row r="105" spans="3:13">
      <c r="C105" s="366">
        <v>99</v>
      </c>
      <c r="D105" s="79"/>
      <c r="E105" s="79"/>
      <c r="F105" s="79"/>
      <c r="G105" s="70" t="str">
        <f>IF($C105&lt;=vars_OWSA,INDEX('Model Inputs'!$D$3:$N$223,MATCH($C105,'Model Inputs'!$D$3:$D$223,0),2),"")</f>
        <v>Proportion of  Substandard and Falsified Medicines 2 at Private Pharmacies in the ideal-world scenario</v>
      </c>
      <c r="H105" s="270">
        <f>IF($C105&lt;=vars_OWSA,INDEX('Model Inputs'!$D$3:$N$223,MATCH($C105,'Model Inputs'!$D$3:$D$223),7),"")</f>
        <v>0</v>
      </c>
      <c r="I105" s="270">
        <f>IF($C105&lt;=vars_OWSA,INDEX('Model Inputs'!$D$3:$N$223,MATCH($C105,'Model Inputs'!$D$3:$D$223),8),"")</f>
        <v>0</v>
      </c>
      <c r="J105" s="2">
        <v>15493449.976642877</v>
      </c>
      <c r="K105" s="2">
        <v>15493449.976642877</v>
      </c>
      <c r="L105" s="445">
        <f t="shared" si="3"/>
        <v>0</v>
      </c>
      <c r="M105" s="5"/>
    </row>
    <row r="106" spans="3:13">
      <c r="C106" s="366">
        <v>100</v>
      </c>
      <c r="D106" s="79"/>
      <c r="E106" s="79"/>
      <c r="F106" s="79"/>
      <c r="G106" s="70" t="str">
        <f>IF($C106&lt;=vars_OWSA,INDEX('Model Inputs'!$D$3:$N$223,MATCH($C106,'Model Inputs'!$D$3:$D$223,0),2),"")</f>
        <v>Proportion of   Substandard and Falsified Medicines 3 at Private Pharmacies in the ideal-world scenario</v>
      </c>
      <c r="H106" s="270">
        <f>IF($C106&lt;=vars_OWSA,INDEX('Model Inputs'!$D$3:$N$223,MATCH($C106,'Model Inputs'!$D$3:$D$223),7),"")</f>
        <v>0</v>
      </c>
      <c r="I106" s="270">
        <f>IF($C106&lt;=vars_OWSA,INDEX('Model Inputs'!$D$3:$N$223,MATCH($C106,'Model Inputs'!$D$3:$D$223),8),"")</f>
        <v>0</v>
      </c>
      <c r="J106" s="2">
        <v>15493449.976642877</v>
      </c>
      <c r="K106" s="2">
        <v>15493449.976642877</v>
      </c>
      <c r="L106" s="445">
        <f t="shared" si="3"/>
        <v>0</v>
      </c>
      <c r="M106" s="5"/>
    </row>
    <row r="107" spans="3:13">
      <c r="C107" s="366">
        <v>101</v>
      </c>
      <c r="D107" s="79"/>
      <c r="E107" s="79"/>
      <c r="F107" s="79"/>
      <c r="G107" s="70" t="str">
        <f>IF($C107&lt;=vars_OWSA,INDEX('Model Inputs'!$D$3:$N$223,MATCH($C107,'Model Inputs'!$D$3:$D$223,0),2),"")</f>
        <v>Proportion of Standard Quality Medicines at Private Pharmacies in the ideal-world scenario</v>
      </c>
      <c r="H107" s="270">
        <f>IF($C107&lt;=vars_OWSA,INDEX('Model Inputs'!$D$3:$N$223,MATCH($C107,'Model Inputs'!$D$3:$D$223),7),"")</f>
        <v>0</v>
      </c>
      <c r="I107" s="270">
        <f>IF($C107&lt;=vars_OWSA,INDEX('Model Inputs'!$D$3:$N$223,MATCH($C107,'Model Inputs'!$D$3:$D$223),8),"")</f>
        <v>0</v>
      </c>
      <c r="J107" s="2">
        <v>28055685.718181163</v>
      </c>
      <c r="K107" s="2">
        <v>28055685.718181163</v>
      </c>
      <c r="L107" s="445">
        <f t="shared" si="3"/>
        <v>0</v>
      </c>
      <c r="M107" s="5"/>
    </row>
    <row r="108" spans="3:13">
      <c r="C108" s="366">
        <v>102</v>
      </c>
      <c r="D108" s="79"/>
      <c r="E108" s="79"/>
      <c r="F108" s="79"/>
      <c r="G108" s="70" t="str">
        <f>IF($C108&lt;=vars_OWSA,INDEX('Model Inputs'!$D$3:$N$223,MATCH($C108,'Model Inputs'!$D$3:$D$223,0),2),"")</f>
        <v>Proportion of  Substandard and Falsified Medicines 1 at Private "Other Locations"  in  the ideal-world scenario</v>
      </c>
      <c r="H108" s="270">
        <f>IF($C108&lt;=vars_OWSA,INDEX('Model Inputs'!$D$3:$N$223,MATCH($C108,'Model Inputs'!$D$3:$D$223),7),"")</f>
        <v>0</v>
      </c>
      <c r="I108" s="270">
        <f>IF($C108&lt;=vars_OWSA,INDEX('Model Inputs'!$D$3:$N$223,MATCH($C108,'Model Inputs'!$D$3:$D$223),8),"")</f>
        <v>0</v>
      </c>
      <c r="J108" s="2">
        <v>15493449.976642877</v>
      </c>
      <c r="K108" s="2">
        <v>15493449.976642877</v>
      </c>
      <c r="L108" s="445">
        <f t="shared" si="3"/>
        <v>0</v>
      </c>
      <c r="M108" s="5"/>
    </row>
    <row r="109" spans="3:13">
      <c r="C109" s="366">
        <v>103</v>
      </c>
      <c r="D109" s="79"/>
      <c r="E109" s="79"/>
      <c r="F109" s="79"/>
      <c r="G109" s="70" t="str">
        <f>IF($C109&lt;=vars_OWSA,INDEX('Model Inputs'!$D$3:$N$223,MATCH($C109,'Model Inputs'!$D$3:$D$223,0),2),"")</f>
        <v>Proportion of  Substandard and Falsified Medicines 2 at Private "Other Locations" in the ideal-world scenario</v>
      </c>
      <c r="H109" s="270">
        <f>IF($C109&lt;=vars_OWSA,INDEX('Model Inputs'!$D$3:$N$223,MATCH($C109,'Model Inputs'!$D$3:$D$223),7),"")</f>
        <v>0</v>
      </c>
      <c r="I109" s="270">
        <f>IF($C109&lt;=vars_OWSA,INDEX('Model Inputs'!$D$3:$N$223,MATCH($C109,'Model Inputs'!$D$3:$D$223),8),"")</f>
        <v>0</v>
      </c>
      <c r="J109" s="2">
        <v>15493449.976642877</v>
      </c>
      <c r="K109" s="2">
        <v>15493449.976642877</v>
      </c>
      <c r="L109" s="445">
        <f t="shared" si="3"/>
        <v>0</v>
      </c>
      <c r="M109" s="5"/>
    </row>
    <row r="110" spans="3:13">
      <c r="C110" s="366">
        <v>104</v>
      </c>
      <c r="D110" s="79"/>
      <c r="E110" s="79"/>
      <c r="F110" s="79"/>
      <c r="G110" s="70" t="str">
        <f>IF($C110&lt;=vars_OWSA,INDEX('Model Inputs'!$D$3:$N$223,MATCH($C110,'Model Inputs'!$D$3:$D$223,0),2),"")</f>
        <v>Proportion of   Substandard and Falsified Medicines 3 at Private "Other Locations" in the ideal-world scenario</v>
      </c>
      <c r="H110" s="270">
        <f>IF($C110&lt;=vars_OWSA,INDEX('Model Inputs'!$D$3:$N$223,MATCH($C110,'Model Inputs'!$D$3:$D$223),7),"")</f>
        <v>0</v>
      </c>
      <c r="I110" s="270">
        <f>IF($C110&lt;=vars_OWSA,INDEX('Model Inputs'!$D$3:$N$223,MATCH($C110,'Model Inputs'!$D$3:$D$223),8),"")</f>
        <v>0</v>
      </c>
      <c r="J110" s="2">
        <v>15493449.976642877</v>
      </c>
      <c r="K110" s="2">
        <v>15493449.976642877</v>
      </c>
      <c r="L110" s="445">
        <f t="shared" si="3"/>
        <v>0</v>
      </c>
      <c r="M110" s="5"/>
    </row>
    <row r="111" spans="3:13">
      <c r="C111" s="366">
        <v>105</v>
      </c>
      <c r="D111" s="79"/>
      <c r="E111" s="79"/>
      <c r="F111" s="79"/>
      <c r="G111" s="70" t="str">
        <f>IF($C111&lt;=vars_OWSA,INDEX('Model Inputs'!$D$3:$N$223,MATCH($C111,'Model Inputs'!$D$3:$D$223,0),2),"")</f>
        <v>Proportion of Standard Quality Medicines at Private "Other Locations" in the ideal-world scenario</v>
      </c>
      <c r="H111" s="270">
        <f>IF($C111&lt;=vars_OWSA,INDEX('Model Inputs'!$D$3:$N$223,MATCH($C111,'Model Inputs'!$D$3:$D$223),7),"")</f>
        <v>0</v>
      </c>
      <c r="I111" s="270">
        <f>IF($C111&lt;=vars_OWSA,INDEX('Model Inputs'!$D$3:$N$223,MATCH($C111,'Model Inputs'!$D$3:$D$223),8),"")</f>
        <v>0</v>
      </c>
      <c r="J111" s="2">
        <v>28055685.718181163</v>
      </c>
      <c r="K111" s="2">
        <v>28055685.718181163</v>
      </c>
      <c r="L111" s="445">
        <f t="shared" si="3"/>
        <v>0</v>
      </c>
      <c r="M111" s="5"/>
    </row>
    <row r="112" spans="3:13">
      <c r="C112" s="366">
        <v>106</v>
      </c>
      <c r="D112" s="79"/>
      <c r="E112" s="79"/>
      <c r="F112" s="79"/>
      <c r="G112" s="70" t="str">
        <f>IF($C112&lt;=vars_OWSA,INDEX('Model Inputs'!$D$3:$N$223,MATCH($C112,'Model Inputs'!$D$3:$D$223,0),2),"")</f>
        <v>Proportion of  Substandard and Falsified Medicines 1 at "Other Locations"  in  the ideal-world scenario</v>
      </c>
      <c r="H112" s="270">
        <f>IF($C112&lt;=vars_OWSA,INDEX('Model Inputs'!$D$3:$N$223,MATCH($C112,'Model Inputs'!$D$3:$D$223),7),"")</f>
        <v>0</v>
      </c>
      <c r="I112" s="270">
        <f>IF($C112&lt;=vars_OWSA,INDEX('Model Inputs'!$D$3:$N$223,MATCH($C112,'Model Inputs'!$D$3:$D$223),8),"")</f>
        <v>0</v>
      </c>
      <c r="J112" s="2">
        <v>15493449.976642877</v>
      </c>
      <c r="K112" s="2">
        <v>15493449.976642877</v>
      </c>
      <c r="L112" s="445">
        <f t="shared" si="3"/>
        <v>0</v>
      </c>
      <c r="M112" s="5"/>
    </row>
    <row r="113" spans="3:13">
      <c r="C113" s="366">
        <v>107</v>
      </c>
      <c r="D113" s="79"/>
      <c r="E113" s="79"/>
      <c r="F113" s="79"/>
      <c r="G113" s="70" t="str">
        <f>IF($C113&lt;=vars_OWSA,INDEX('Model Inputs'!$D$3:$N$223,MATCH($C113,'Model Inputs'!$D$3:$D$223,0),2),"")</f>
        <v>Proportion of  Substandard and Falsified Medicines 2 at "Other Locations" in the ideal-world scenario</v>
      </c>
      <c r="H113" s="270">
        <f>IF($C113&lt;=vars_OWSA,INDEX('Model Inputs'!$D$3:$N$223,MATCH($C113,'Model Inputs'!$D$3:$D$223),7),"")</f>
        <v>0</v>
      </c>
      <c r="I113" s="270">
        <f>IF($C113&lt;=vars_OWSA,INDEX('Model Inputs'!$D$3:$N$223,MATCH($C113,'Model Inputs'!$D$3:$D$223),8),"")</f>
        <v>0</v>
      </c>
      <c r="J113" s="2">
        <v>15493449.976642877</v>
      </c>
      <c r="K113" s="2">
        <v>15493449.976642877</v>
      </c>
      <c r="L113" s="445">
        <f t="shared" si="3"/>
        <v>0</v>
      </c>
      <c r="M113" s="5"/>
    </row>
    <row r="114" spans="3:13">
      <c r="C114" s="366">
        <v>108</v>
      </c>
      <c r="D114" s="79"/>
      <c r="E114" s="79"/>
      <c r="F114" s="79"/>
      <c r="G114" s="70" t="str">
        <f>IF($C114&lt;=vars_OWSA,INDEX('Model Inputs'!$D$3:$N$223,MATCH($C114,'Model Inputs'!$D$3:$D$223,0),2),"")</f>
        <v>Proportion of   Substandard and Falsified Medicines 3 at "Other Locations" in the ideal-world scenario</v>
      </c>
      <c r="H114" s="270">
        <f>IF($C114&lt;=vars_OWSA,INDEX('Model Inputs'!$D$3:$N$223,MATCH($C114,'Model Inputs'!$D$3:$D$223),7),"")</f>
        <v>0</v>
      </c>
      <c r="I114" s="270">
        <f>IF($C114&lt;=vars_OWSA,INDEX('Model Inputs'!$D$3:$N$223,MATCH($C114,'Model Inputs'!$D$3:$D$223),8),"")</f>
        <v>0</v>
      </c>
      <c r="J114" s="2">
        <v>15493449.976642877</v>
      </c>
      <c r="K114" s="2">
        <v>15493449.976642877</v>
      </c>
      <c r="L114" s="445">
        <f t="shared" si="3"/>
        <v>0</v>
      </c>
      <c r="M114" s="5"/>
    </row>
    <row r="115" spans="3:13">
      <c r="C115" s="366">
        <v>109</v>
      </c>
      <c r="D115" s="79"/>
      <c r="E115" s="79"/>
      <c r="F115" s="79"/>
      <c r="G115" s="70" t="str">
        <f>IF($C115&lt;=vars_OWSA,INDEX('Model Inputs'!$D$3:$N$223,MATCH($C115,'Model Inputs'!$D$3:$D$223,0),2),"")</f>
        <v>Proportion of Standard Quality Medicines at "Other Locations" in the ideal-world scenario</v>
      </c>
      <c r="H115" s="270">
        <f>IF($C115&lt;=vars_OWSA,INDEX('Model Inputs'!$D$3:$N$223,MATCH($C115,'Model Inputs'!$D$3:$D$223),7),"")</f>
        <v>0</v>
      </c>
      <c r="I115" s="270">
        <f>IF($C115&lt;=vars_OWSA,INDEX('Model Inputs'!$D$3:$N$223,MATCH($C115,'Model Inputs'!$D$3:$D$223),8),"")</f>
        <v>0</v>
      </c>
      <c r="J115" s="2">
        <v>15493449.976642877</v>
      </c>
      <c r="K115" s="2">
        <v>15493449.976642877</v>
      </c>
      <c r="L115" s="445">
        <f t="shared" si="3"/>
        <v>0</v>
      </c>
      <c r="M115" s="5"/>
    </row>
    <row r="116" spans="3:13">
      <c r="C116" s="366">
        <v>110</v>
      </c>
      <c r="D116" s="79"/>
      <c r="E116" s="79"/>
      <c r="F116" s="79"/>
      <c r="G116" s="70" t="str">
        <f>IF($C116&lt;=vars_OWSA,INDEX('Model Inputs'!$D$3:$N$223,MATCH($C116,'Model Inputs'!$D$3:$D$223,0),2),"")</f>
        <v>Proportion of Substandard and Falsified Medicines 1 that are adulterated</v>
      </c>
      <c r="H116" s="270">
        <f>IF($C116&lt;=vars_OWSA,INDEX('Model Inputs'!$D$3:$N$223,MATCH($C116,'Model Inputs'!$D$3:$D$223),7),"")</f>
        <v>0</v>
      </c>
      <c r="I116" s="270">
        <f>IF($C116&lt;=vars_OWSA,INDEX('Model Inputs'!$D$3:$N$223,MATCH($C116,'Model Inputs'!$D$3:$D$223),8),"")</f>
        <v>0</v>
      </c>
      <c r="J116" s="2">
        <v>15493449.976642877</v>
      </c>
      <c r="K116" s="2">
        <v>15493449.976642877</v>
      </c>
      <c r="L116" s="445">
        <f t="shared" si="3"/>
        <v>0</v>
      </c>
      <c r="M116" s="5"/>
    </row>
    <row r="117" spans="3:13">
      <c r="C117" s="366">
        <v>111</v>
      </c>
      <c r="D117" s="79"/>
      <c r="E117" s="79"/>
      <c r="F117" s="79"/>
      <c r="G117" s="70" t="str">
        <f>IF($C117&lt;=vars_OWSA,INDEX('Model Inputs'!$D$3:$N$223,MATCH($C117,'Model Inputs'!$D$3:$D$223,0),2),"")</f>
        <v>Proportion of Substandard and Falsified Medicines 2 that are adulterated</v>
      </c>
      <c r="H117" s="270">
        <f>IF($C117&lt;=vars_OWSA,INDEX('Model Inputs'!$D$3:$N$223,MATCH($C117,'Model Inputs'!$D$3:$D$223),7),"")</f>
        <v>0</v>
      </c>
      <c r="I117" s="270">
        <f>IF($C117&lt;=vars_OWSA,INDEX('Model Inputs'!$D$3:$N$223,MATCH($C117,'Model Inputs'!$D$3:$D$223),8),"")</f>
        <v>0</v>
      </c>
      <c r="J117" s="2">
        <v>15493449.976642877</v>
      </c>
      <c r="K117" s="2">
        <v>15493449.976642877</v>
      </c>
      <c r="L117" s="445">
        <f t="shared" si="3"/>
        <v>0</v>
      </c>
      <c r="M117" s="5"/>
    </row>
    <row r="118" spans="3:13">
      <c r="C118" s="366">
        <v>112</v>
      </c>
      <c r="D118" s="79"/>
      <c r="E118" s="79"/>
      <c r="F118" s="79"/>
      <c r="G118" s="70" t="str">
        <f>IF($C118&lt;=vars_OWSA,INDEX('Model Inputs'!$D$3:$N$223,MATCH($C118,'Model Inputs'!$D$3:$D$223,0),2),"")</f>
        <v>Proportion of Substandard and Falsified Medicines 3 that are adulterated</v>
      </c>
      <c r="H118" s="270">
        <f>IF($C118&lt;=vars_OWSA,INDEX('Model Inputs'!$D$3:$N$223,MATCH($C118,'Model Inputs'!$D$3:$D$223),7),"")</f>
        <v>0</v>
      </c>
      <c r="I118" s="270">
        <f>IF($C118&lt;=vars_OWSA,INDEX('Model Inputs'!$D$3:$N$223,MATCH($C118,'Model Inputs'!$D$3:$D$223),8),"")</f>
        <v>0</v>
      </c>
      <c r="J118" s="2">
        <v>15493449.976642877</v>
      </c>
      <c r="K118" s="2">
        <v>15493449.976642877</v>
      </c>
      <c r="L118" s="445">
        <f t="shared" si="3"/>
        <v>0</v>
      </c>
      <c r="M118" s="5"/>
    </row>
    <row r="119" spans="3:13">
      <c r="C119" s="366">
        <v>113</v>
      </c>
      <c r="D119" s="79"/>
      <c r="E119" s="79"/>
      <c r="F119" s="79"/>
      <c r="G119" s="70" t="str">
        <f>IF($C119&lt;=vars_OWSA,INDEX('Model Inputs'!$D$3:$N$223,MATCH($C119,'Model Inputs'!$D$3:$D$223,0),2),"")</f>
        <v>Drug Cost per Dose at Public Hospitals</v>
      </c>
      <c r="H119" s="270">
        <f>IF($C119&lt;=vars_OWSA,INDEX('Model Inputs'!$D$3:$N$223,MATCH($C119,'Model Inputs'!$D$3:$D$223),7),"")</f>
        <v>0</v>
      </c>
      <c r="I119" s="270">
        <f>IF($C119&lt;=vars_OWSA,INDEX('Model Inputs'!$D$3:$N$223,MATCH($C119,'Model Inputs'!$D$3:$D$223),8),"")</f>
        <v>0</v>
      </c>
      <c r="J119" s="2">
        <v>15493449.976642877</v>
      </c>
      <c r="K119" s="2">
        <v>15493449.976642877</v>
      </c>
      <c r="L119" s="445">
        <f t="shared" si="3"/>
        <v>0</v>
      </c>
      <c r="M119" s="5"/>
    </row>
    <row r="120" spans="3:13">
      <c r="C120" s="366">
        <v>114</v>
      </c>
      <c r="D120" s="79"/>
      <c r="E120" s="79"/>
      <c r="F120" s="79"/>
      <c r="G120" s="70" t="str">
        <f>IF($C120&lt;=vars_OWSA,INDEX('Model Inputs'!$D$3:$N$223,MATCH($C120,'Model Inputs'!$D$3:$D$223,0),2),"")</f>
        <v>Drug Cost per Dose at Public Health Centers</v>
      </c>
      <c r="H120" s="270">
        <f>IF($C120&lt;=vars_OWSA,INDEX('Model Inputs'!$D$3:$N$223,MATCH($C120,'Model Inputs'!$D$3:$D$223),7),"")</f>
        <v>0</v>
      </c>
      <c r="I120" s="270">
        <f>IF($C120&lt;=vars_OWSA,INDEX('Model Inputs'!$D$3:$N$223,MATCH($C120,'Model Inputs'!$D$3:$D$223),8),"")</f>
        <v>0</v>
      </c>
      <c r="J120" s="2">
        <v>15493449.976642877</v>
      </c>
      <c r="K120" s="2">
        <v>15493449.976642877</v>
      </c>
      <c r="L120" s="445">
        <f t="shared" si="3"/>
        <v>0</v>
      </c>
      <c r="M120" s="5"/>
    </row>
    <row r="121" spans="3:13">
      <c r="C121" s="366">
        <v>115</v>
      </c>
      <c r="D121" s="79"/>
      <c r="E121" s="79"/>
      <c r="F121" s="79"/>
      <c r="G121" s="70" t="str">
        <f>IF($C121&lt;=vars_OWSA,INDEX('Model Inputs'!$D$3:$N$223,MATCH($C121,'Model Inputs'!$D$3:$D$223,0),2),"")</f>
        <v>Drug Cost per Dose at Private Hospitals</v>
      </c>
      <c r="H121" s="270">
        <f>IF($C121&lt;=vars_OWSA,INDEX('Model Inputs'!$D$3:$N$223,MATCH($C121,'Model Inputs'!$D$3:$D$223),7),"")</f>
        <v>0</v>
      </c>
      <c r="I121" s="270">
        <f>IF($C121&lt;=vars_OWSA,INDEX('Model Inputs'!$D$3:$N$223,MATCH($C121,'Model Inputs'!$D$3:$D$223),8),"")</f>
        <v>0</v>
      </c>
      <c r="J121" s="2">
        <v>15493449.976642877</v>
      </c>
      <c r="K121" s="2">
        <v>15493449.976642877</v>
      </c>
      <c r="L121" s="445">
        <f t="shared" si="3"/>
        <v>0</v>
      </c>
      <c r="M121" s="5"/>
    </row>
    <row r="122" spans="3:13">
      <c r="C122" s="366">
        <v>116</v>
      </c>
      <c r="D122" s="79"/>
      <c r="E122" s="79"/>
      <c r="F122" s="79"/>
      <c r="G122" s="70" t="str">
        <f>IF($C122&lt;=vars_OWSA,INDEX('Model Inputs'!$D$3:$N$223,MATCH($C122,'Model Inputs'!$D$3:$D$223,0),2),"")</f>
        <v>Drug Cost per Dose at Private Pharmacies</v>
      </c>
      <c r="H122" s="270">
        <f>IF($C122&lt;=vars_OWSA,INDEX('Model Inputs'!$D$3:$N$223,MATCH($C122,'Model Inputs'!$D$3:$D$223),7),"")</f>
        <v>0</v>
      </c>
      <c r="I122" s="270">
        <f>IF($C122&lt;=vars_OWSA,INDEX('Model Inputs'!$D$3:$N$223,MATCH($C122,'Model Inputs'!$D$3:$D$223),8),"")</f>
        <v>0</v>
      </c>
      <c r="J122" s="2">
        <v>15493449.976642877</v>
      </c>
      <c r="K122" s="2">
        <v>15493449.976642877</v>
      </c>
      <c r="L122" s="445">
        <f t="shared" si="3"/>
        <v>0</v>
      </c>
      <c r="M122" s="5"/>
    </row>
    <row r="123" spans="3:13">
      <c r="C123" s="366">
        <v>117</v>
      </c>
      <c r="D123" s="79"/>
      <c r="E123" s="79"/>
      <c r="F123" s="79"/>
      <c r="G123" s="70" t="str">
        <f>IF($C123&lt;=vars_OWSA,INDEX('Model Inputs'!$D$3:$N$223,MATCH($C123,'Model Inputs'!$D$3:$D$223,0),2),"")</f>
        <v>Drug Cost per Dose at Private "Other" Locations</v>
      </c>
      <c r="H123" s="270">
        <f>IF($C123&lt;=vars_OWSA,INDEX('Model Inputs'!$D$3:$N$223,MATCH($C123,'Model Inputs'!$D$3:$D$223),7),"")</f>
        <v>0</v>
      </c>
      <c r="I123" s="270">
        <f>IF($C123&lt;=vars_OWSA,INDEX('Model Inputs'!$D$3:$N$223,MATCH($C123,'Model Inputs'!$D$3:$D$223),8),"")</f>
        <v>0</v>
      </c>
      <c r="J123" s="2">
        <v>15493449.976642877</v>
      </c>
      <c r="K123" s="2">
        <v>15493449.976642877</v>
      </c>
      <c r="L123" s="445">
        <f t="shared" si="3"/>
        <v>0</v>
      </c>
      <c r="M123" s="5"/>
    </row>
    <row r="124" spans="3:13">
      <c r="C124" s="366">
        <v>118</v>
      </c>
      <c r="D124" s="79"/>
      <c r="E124" s="79"/>
      <c r="F124" s="79"/>
      <c r="G124" s="70" t="str">
        <f>IF($C124&lt;=vars_OWSA,INDEX('Model Inputs'!$D$3:$N$223,MATCH($C124,'Model Inputs'!$D$3:$D$223,0),2),"")</f>
        <v>Drug Cost per Dose at Other locations</v>
      </c>
      <c r="H124" s="270">
        <f>IF($C124&lt;=vars_OWSA,INDEX('Model Inputs'!$D$3:$N$223,MATCH($C124,'Model Inputs'!$D$3:$D$223),7),"")</f>
        <v>0</v>
      </c>
      <c r="I124" s="270">
        <f>IF($C124&lt;=vars_OWSA,INDEX('Model Inputs'!$D$3:$N$223,MATCH($C124,'Model Inputs'!$D$3:$D$223),8),"")</f>
        <v>0</v>
      </c>
      <c r="J124" s="2">
        <v>15493449.976642877</v>
      </c>
      <c r="K124" s="2">
        <v>15493449.976642877</v>
      </c>
      <c r="L124" s="445">
        <f t="shared" si="3"/>
        <v>0</v>
      </c>
      <c r="M124" s="5"/>
    </row>
    <row r="125" spans="3:13">
      <c r="C125" s="366">
        <v>119</v>
      </c>
      <c r="D125" s="79"/>
      <c r="E125" s="79"/>
      <c r="F125" s="79"/>
      <c r="G125" s="70" t="str">
        <f>IF($C125&lt;=vars_OWSA,INDEX('Model Inputs'!$D$3:$N$223,MATCH($C125,'Model Inputs'!$D$3:$D$223,0),2),"")</f>
        <v>Average Unit Cost of severe pneumonia Management at Public Hospitals</v>
      </c>
      <c r="H125" s="270">
        <f>IF($C125&lt;=vars_OWSA,INDEX('Model Inputs'!$D$3:$N$223,MATCH($C125,'Model Inputs'!$D$3:$D$223),7),"")</f>
        <v>0</v>
      </c>
      <c r="I125" s="270">
        <f>IF($C125&lt;=vars_OWSA,INDEX('Model Inputs'!$D$3:$N$223,MATCH($C125,'Model Inputs'!$D$3:$D$223),8),"")</f>
        <v>0</v>
      </c>
      <c r="J125" s="2">
        <v>15493449.976642877</v>
      </c>
      <c r="K125" s="2">
        <v>15493449.976642877</v>
      </c>
      <c r="L125" s="445">
        <f t="shared" si="3"/>
        <v>0</v>
      </c>
      <c r="M125" s="5"/>
    </row>
    <row r="126" spans="3:13">
      <c r="C126" s="366">
        <v>120</v>
      </c>
      <c r="D126" s="79"/>
      <c r="E126" s="79"/>
      <c r="F126" s="79"/>
      <c r="G126" s="70" t="str">
        <f>IF($C126&lt;=vars_OWSA,INDEX('Model Inputs'!$D$3:$N$223,MATCH($C126,'Model Inputs'!$D$3:$D$223,0),2),"")</f>
        <v>Average Unit Cost of severe pneumonia Management at Public Health Centers</v>
      </c>
      <c r="H126" s="270">
        <f>IF($C126&lt;=vars_OWSA,INDEX('Model Inputs'!$D$3:$N$223,MATCH($C126,'Model Inputs'!$D$3:$D$223),7),"")</f>
        <v>0</v>
      </c>
      <c r="I126" s="270">
        <f>IF($C126&lt;=vars_OWSA,INDEX('Model Inputs'!$D$3:$N$223,MATCH($C126,'Model Inputs'!$D$3:$D$223),8),"")</f>
        <v>0</v>
      </c>
      <c r="J126" s="2">
        <v>14777055.39914288</v>
      </c>
      <c r="K126" s="2">
        <v>14777055.39914288</v>
      </c>
      <c r="L126" s="445">
        <f t="shared" si="3"/>
        <v>0</v>
      </c>
      <c r="M126" s="5"/>
    </row>
    <row r="127" spans="3:13">
      <c r="C127" s="366">
        <v>121</v>
      </c>
      <c r="D127" s="79"/>
      <c r="E127" s="79"/>
      <c r="F127" s="79"/>
      <c r="G127" s="70" t="str">
        <f>IF($C127&lt;=vars_OWSA,INDEX('Model Inputs'!$D$3:$N$223,MATCH($C127,'Model Inputs'!$D$3:$D$223,0),2),"")</f>
        <v>Average Unit Cost of severe pneumonia Management at Private Hospitals</v>
      </c>
      <c r="H127" s="270">
        <f>IF($C127&lt;=vars_OWSA,INDEX('Model Inputs'!$D$3:$N$223,MATCH($C127,'Model Inputs'!$D$3:$D$223),7),"")</f>
        <v>0</v>
      </c>
      <c r="I127" s="270">
        <f>IF($C127&lt;=vars_OWSA,INDEX('Model Inputs'!$D$3:$N$223,MATCH($C127,'Model Inputs'!$D$3:$D$223),8),"")</f>
        <v>0</v>
      </c>
      <c r="J127" s="2">
        <v>15493449.976642877</v>
      </c>
      <c r="K127" s="2">
        <v>15493449.976642877</v>
      </c>
      <c r="L127" s="445">
        <f t="shared" si="3"/>
        <v>0</v>
      </c>
      <c r="M127" s="5"/>
    </row>
    <row r="128" spans="3:13">
      <c r="C128" s="366">
        <v>122</v>
      </c>
      <c r="D128" s="79"/>
      <c r="E128" s="79"/>
      <c r="F128" s="79"/>
      <c r="G128" s="70" t="str">
        <f>IF($C128&lt;=vars_OWSA,INDEX('Model Inputs'!$D$3:$N$223,MATCH($C128,'Model Inputs'!$D$3:$D$223,0),2),"")</f>
        <v>Average Unit Cost of severe pneumonia Management at Private Pharmacies</v>
      </c>
      <c r="H128" s="270">
        <f>IF($C128&lt;=vars_OWSA,INDEX('Model Inputs'!$D$3:$N$223,MATCH($C128,'Model Inputs'!$D$3:$D$223),7),"")</f>
        <v>0</v>
      </c>
      <c r="I128" s="270">
        <f>IF($C128&lt;=vars_OWSA,INDEX('Model Inputs'!$D$3:$N$223,MATCH($C128,'Model Inputs'!$D$3:$D$223),8),"")</f>
        <v>0</v>
      </c>
      <c r="J128" s="2">
        <v>15493449.976642877</v>
      </c>
      <c r="K128" s="2">
        <v>15493449.976642877</v>
      </c>
      <c r="L128" s="445">
        <f t="shared" si="3"/>
        <v>0</v>
      </c>
      <c r="M128" s="5"/>
    </row>
    <row r="129" spans="3:13">
      <c r="C129" s="366">
        <v>123</v>
      </c>
      <c r="D129" s="79"/>
      <c r="E129" s="79"/>
      <c r="F129" s="79"/>
      <c r="G129" s="70" t="str">
        <f>IF($C129&lt;=vars_OWSA,INDEX('Model Inputs'!$D$3:$N$223,MATCH($C129,'Model Inputs'!$D$3:$D$223,0),2),"")</f>
        <v>Average Unit Cost of severe pneumonia Management at Private Other Locations</v>
      </c>
      <c r="H129" s="270">
        <f>IF($C129&lt;=vars_OWSA,INDEX('Model Inputs'!$D$3:$N$223,MATCH($C129,'Model Inputs'!$D$3:$D$223),7),"")</f>
        <v>0</v>
      </c>
      <c r="I129" s="270">
        <f>IF($C129&lt;=vars_OWSA,INDEX('Model Inputs'!$D$3:$N$223,MATCH($C129,'Model Inputs'!$D$3:$D$223),8),"")</f>
        <v>0</v>
      </c>
      <c r="J129" s="2">
        <v>15493449.976642877</v>
      </c>
      <c r="K129" s="2">
        <v>15493449.976642877</v>
      </c>
      <c r="L129" s="445">
        <f t="shared" si="3"/>
        <v>0</v>
      </c>
      <c r="M129" s="5"/>
    </row>
    <row r="130" spans="3:13">
      <c r="C130" s="366">
        <v>124</v>
      </c>
      <c r="D130" s="79"/>
      <c r="E130" s="79"/>
      <c r="F130" s="79"/>
      <c r="G130" s="70" t="str">
        <f>IF($C130&lt;=vars_OWSA,INDEX('Model Inputs'!$D$3:$N$223,MATCH($C130,'Model Inputs'!$D$3:$D$223,0),2),"")</f>
        <v>Average Unit Cost of severe pneumonia Management at Other</v>
      </c>
      <c r="H130" s="270">
        <f>IF($C130&lt;=vars_OWSA,INDEX('Model Inputs'!$D$3:$N$223,MATCH($C130,'Model Inputs'!$D$3:$D$223),7),"")</f>
        <v>0</v>
      </c>
      <c r="I130" s="270">
        <f>IF($C130&lt;=vars_OWSA,INDEX('Model Inputs'!$D$3:$N$223,MATCH($C130,'Model Inputs'!$D$3:$D$223),8),"")</f>
        <v>0</v>
      </c>
      <c r="J130" s="2">
        <v>14777055.39914288</v>
      </c>
      <c r="K130" s="2">
        <v>14777055.39914288</v>
      </c>
      <c r="L130" s="445">
        <f t="shared" si="3"/>
        <v>0</v>
      </c>
      <c r="M130" s="5"/>
    </row>
    <row r="131" spans="3:13">
      <c r="C131" s="366">
        <v>125</v>
      </c>
      <c r="D131" s="79"/>
      <c r="E131" s="79"/>
      <c r="F131" s="79"/>
      <c r="G131" s="70" t="str">
        <f>IF($C131&lt;=vars_OWSA,INDEX('Model Inputs'!$D$3:$N$223,MATCH($C131,'Model Inputs'!$D$3:$D$223,0),2),"")</f>
        <v>Average Unit Cost of very severe pneumonia Management at Public Hospitals</v>
      </c>
      <c r="H131" s="270">
        <f>IF($C131&lt;=vars_OWSA,INDEX('Model Inputs'!$D$3:$N$223,MATCH($C131,'Model Inputs'!$D$3:$D$223),7),"")</f>
        <v>0</v>
      </c>
      <c r="I131" s="270">
        <f>IF($C131&lt;=vars_OWSA,INDEX('Model Inputs'!$D$3:$N$223,MATCH($C131,'Model Inputs'!$D$3:$D$223),8),"")</f>
        <v>0</v>
      </c>
      <c r="J131" s="2">
        <v>15493449.976642877</v>
      </c>
      <c r="K131" s="2">
        <v>15493449.976642877</v>
      </c>
      <c r="L131" s="445">
        <f t="shared" si="3"/>
        <v>0</v>
      </c>
      <c r="M131" s="5"/>
    </row>
    <row r="132" spans="3:13">
      <c r="C132" s="366">
        <v>126</v>
      </c>
      <c r="D132" s="79"/>
      <c r="E132" s="79"/>
      <c r="F132" s="79"/>
      <c r="G132" s="70" t="str">
        <f>IF($C132&lt;=vars_OWSA,INDEX('Model Inputs'!$D$3:$N$223,MATCH($C132,'Model Inputs'!$D$3:$D$223,0),2),"")</f>
        <v>Average Unit Cost of very severe pneumonia Management at Public Health Centers</v>
      </c>
      <c r="H132" s="270">
        <f>IF($C132&lt;=vars_OWSA,INDEX('Model Inputs'!$D$3:$N$223,MATCH($C132,'Model Inputs'!$D$3:$D$223),7),"")</f>
        <v>0</v>
      </c>
      <c r="I132" s="270">
        <f>IF($C132&lt;=vars_OWSA,INDEX('Model Inputs'!$D$3:$N$223,MATCH($C132,'Model Inputs'!$D$3:$D$223),8),"")</f>
        <v>0</v>
      </c>
      <c r="J132" s="2">
        <v>14553861.67664288</v>
      </c>
      <c r="K132" s="2">
        <v>14553861.67664288</v>
      </c>
      <c r="L132" s="445">
        <f t="shared" si="3"/>
        <v>0</v>
      </c>
      <c r="M132" s="5"/>
    </row>
    <row r="133" spans="3:13">
      <c r="C133" s="366">
        <v>127</v>
      </c>
      <c r="D133" s="79"/>
      <c r="E133" s="79"/>
      <c r="F133" s="79"/>
      <c r="G133" s="70" t="str">
        <f>IF($C133&lt;=vars_OWSA,INDEX('Model Inputs'!$D$3:$N$223,MATCH($C133,'Model Inputs'!$D$3:$D$223,0),2),"")</f>
        <v>Average Unit Cost of very severe pneumonia Management at Private Hospitals</v>
      </c>
      <c r="H133" s="270">
        <f>IF($C133&lt;=vars_OWSA,INDEX('Model Inputs'!$D$3:$N$223,MATCH($C133,'Model Inputs'!$D$3:$D$223),7),"")</f>
        <v>0</v>
      </c>
      <c r="I133" s="270">
        <f>IF($C133&lt;=vars_OWSA,INDEX('Model Inputs'!$D$3:$N$223,MATCH($C133,'Model Inputs'!$D$3:$D$223),8),"")</f>
        <v>0</v>
      </c>
      <c r="J133" s="2">
        <v>15493449.976642877</v>
      </c>
      <c r="K133" s="2">
        <v>15493449.976642877</v>
      </c>
      <c r="L133" s="445">
        <f t="shared" si="3"/>
        <v>0</v>
      </c>
      <c r="M133" s="5"/>
    </row>
    <row r="134" spans="3:13">
      <c r="C134" s="366">
        <v>128</v>
      </c>
      <c r="D134" s="79"/>
      <c r="E134" s="79"/>
      <c r="F134" s="79"/>
      <c r="G134" s="70" t="str">
        <f>IF($C134&lt;=vars_OWSA,INDEX('Model Inputs'!$D$3:$N$223,MATCH($C134,'Model Inputs'!$D$3:$D$223,0),2),"")</f>
        <v>Average Unit Cost of very severe pneumonia Management at Private Pharmacies</v>
      </c>
      <c r="H134" s="270">
        <f>IF($C134&lt;=vars_OWSA,INDEX('Model Inputs'!$D$3:$N$223,MATCH($C134,'Model Inputs'!$D$3:$D$223),7),"")</f>
        <v>0</v>
      </c>
      <c r="I134" s="270">
        <f>IF($C134&lt;=vars_OWSA,INDEX('Model Inputs'!$D$3:$N$223,MATCH($C134,'Model Inputs'!$D$3:$D$223),8),"")</f>
        <v>0</v>
      </c>
      <c r="J134" s="2">
        <v>15493449.976642877</v>
      </c>
      <c r="K134" s="2">
        <v>15493449.976642877</v>
      </c>
      <c r="L134" s="445">
        <f t="shared" si="3"/>
        <v>0</v>
      </c>
      <c r="M134" s="5"/>
    </row>
    <row r="135" spans="3:13">
      <c r="C135" s="366">
        <v>129</v>
      </c>
      <c r="D135" s="79"/>
      <c r="E135" s="79"/>
      <c r="F135" s="79"/>
      <c r="G135" s="70" t="str">
        <f>IF($C135&lt;=vars_OWSA,INDEX('Model Inputs'!$D$3:$N$223,MATCH($C135,'Model Inputs'!$D$3:$D$223,0),2),"")</f>
        <v>Average Unit Cost of very severe pneumonia Management at Private Other Locations</v>
      </c>
      <c r="H135" s="270">
        <f>IF($C135&lt;=vars_OWSA,INDEX('Model Inputs'!$D$3:$N$223,MATCH($C135,'Model Inputs'!$D$3:$D$223),7),"")</f>
        <v>0</v>
      </c>
      <c r="I135" s="270">
        <f>IF($C135&lt;=vars_OWSA,INDEX('Model Inputs'!$D$3:$N$223,MATCH($C135,'Model Inputs'!$D$3:$D$223),8),"")</f>
        <v>0</v>
      </c>
      <c r="J135" s="2">
        <v>15493449.976642877</v>
      </c>
      <c r="K135" s="2">
        <v>15493449.976642877</v>
      </c>
      <c r="L135" s="445">
        <f t="shared" ref="L135:L166" si="4">IF(C135&lt;=vars_OWSA,ABS(K135-J135),0)</f>
        <v>0</v>
      </c>
      <c r="M135" s="5"/>
    </row>
    <row r="136" spans="3:13">
      <c r="C136" s="366">
        <v>130</v>
      </c>
      <c r="D136" s="79"/>
      <c r="E136" s="79"/>
      <c r="F136" s="79"/>
      <c r="G136" s="70" t="str">
        <f>IF($C136&lt;=vars_OWSA,INDEX('Model Inputs'!$D$3:$N$223,MATCH($C136,'Model Inputs'!$D$3:$D$223,0),2),"")</f>
        <v>Average Unit Cost of very severe pneumonia Management at Other</v>
      </c>
      <c r="H136" s="270">
        <f>IF($C136&lt;=vars_OWSA,INDEX('Model Inputs'!$D$3:$N$223,MATCH($C136,'Model Inputs'!$D$3:$D$223),7),"")</f>
        <v>0</v>
      </c>
      <c r="I136" s="270">
        <f>IF($C136&lt;=vars_OWSA,INDEX('Model Inputs'!$D$3:$N$223,MATCH($C136,'Model Inputs'!$D$3:$D$223),8),"")</f>
        <v>0</v>
      </c>
      <c r="J136" s="2">
        <v>14553861.67664288</v>
      </c>
      <c r="K136" s="2">
        <v>14553861.67664288</v>
      </c>
      <c r="L136" s="445">
        <f t="shared" si="4"/>
        <v>0</v>
      </c>
      <c r="M136" s="5"/>
    </row>
    <row r="137" spans="3:13">
      <c r="C137" s="366">
        <v>131</v>
      </c>
      <c r="D137" s="79"/>
      <c r="E137" s="79"/>
      <c r="F137" s="79"/>
      <c r="G137" s="70" t="str">
        <f>IF($C137&lt;=vars_OWSA,INDEX('Model Inputs'!$D$3:$N$223,MATCH($C137,'Model Inputs'!$D$3:$D$223,0),2),"")</f>
        <v>Average Unit Cost of Custom 3 Management at Public Hospitals</v>
      </c>
      <c r="H137" s="270">
        <f>IF($C137&lt;=vars_OWSA,INDEX('Model Inputs'!$D$3:$N$223,MATCH($C137,'Model Inputs'!$D$3:$D$223),7),"")</f>
        <v>0</v>
      </c>
      <c r="I137" s="270">
        <f>IF($C137&lt;=vars_OWSA,INDEX('Model Inputs'!$D$3:$N$223,MATCH($C137,'Model Inputs'!$D$3:$D$223),8),"")</f>
        <v>0</v>
      </c>
      <c r="J137" s="2">
        <v>15493449.976642877</v>
      </c>
      <c r="K137" s="2">
        <v>15493449.976642877</v>
      </c>
      <c r="L137" s="445">
        <f t="shared" si="4"/>
        <v>0</v>
      </c>
      <c r="M137" s="5"/>
    </row>
    <row r="138" spans="3:13">
      <c r="C138" s="366">
        <v>132</v>
      </c>
      <c r="D138" s="79"/>
      <c r="E138" s="79"/>
      <c r="F138" s="79"/>
      <c r="G138" s="70" t="str">
        <f>IF($C138&lt;=vars_OWSA,INDEX('Model Inputs'!$D$3:$N$223,MATCH($C138,'Model Inputs'!$D$3:$D$223,0),2),"")</f>
        <v>Average Unit Cost of Custom 3 Management at Public Health Centers</v>
      </c>
      <c r="H138" s="270">
        <f>IF($C138&lt;=vars_OWSA,INDEX('Model Inputs'!$D$3:$N$223,MATCH($C138,'Model Inputs'!$D$3:$D$223),7),"")</f>
        <v>0</v>
      </c>
      <c r="I138" s="270">
        <f>IF($C138&lt;=vars_OWSA,INDEX('Model Inputs'!$D$3:$N$223,MATCH($C138,'Model Inputs'!$D$3:$D$223),8),"")</f>
        <v>0</v>
      </c>
      <c r="J138" s="2">
        <v>15493449.976642877</v>
      </c>
      <c r="K138" s="2">
        <v>15493449.976642877</v>
      </c>
      <c r="L138" s="445">
        <f t="shared" si="4"/>
        <v>0</v>
      </c>
      <c r="M138" s="5"/>
    </row>
    <row r="139" spans="3:13">
      <c r="C139" s="366">
        <v>133</v>
      </c>
      <c r="D139" s="79"/>
      <c r="E139" s="79"/>
      <c r="F139" s="79"/>
      <c r="G139" s="70" t="str">
        <f>IF($C139&lt;=vars_OWSA,INDEX('Model Inputs'!$D$3:$N$223,MATCH($C139,'Model Inputs'!$D$3:$D$223,0),2),"")</f>
        <v>Average Unit Cost of Custom 3 Management at Private Hospitals</v>
      </c>
      <c r="H139" s="270">
        <f>IF($C139&lt;=vars_OWSA,INDEX('Model Inputs'!$D$3:$N$223,MATCH($C139,'Model Inputs'!$D$3:$D$223),7),"")</f>
        <v>0</v>
      </c>
      <c r="I139" s="270">
        <f>IF($C139&lt;=vars_OWSA,INDEX('Model Inputs'!$D$3:$N$223,MATCH($C139,'Model Inputs'!$D$3:$D$223),8),"")</f>
        <v>0</v>
      </c>
      <c r="J139" s="2">
        <v>15493449.976642877</v>
      </c>
      <c r="K139" s="2">
        <v>15493449.976642877</v>
      </c>
      <c r="L139" s="445">
        <f t="shared" si="4"/>
        <v>0</v>
      </c>
      <c r="M139" s="5"/>
    </row>
    <row r="140" spans="3:13">
      <c r="C140" s="366">
        <v>134</v>
      </c>
      <c r="D140" s="79"/>
      <c r="E140" s="79"/>
      <c r="F140" s="79"/>
      <c r="G140" s="70" t="str">
        <f>IF($C140&lt;=vars_OWSA,INDEX('Model Inputs'!$D$3:$N$223,MATCH($C140,'Model Inputs'!$D$3:$D$223,0),2),"")</f>
        <v>Average Unit Cost of Custom 3 Management at Private Pharmacies</v>
      </c>
      <c r="H140" s="270">
        <f>IF($C140&lt;=vars_OWSA,INDEX('Model Inputs'!$D$3:$N$223,MATCH($C140,'Model Inputs'!$D$3:$D$223),7),"")</f>
        <v>0</v>
      </c>
      <c r="I140" s="270">
        <f>IF($C140&lt;=vars_OWSA,INDEX('Model Inputs'!$D$3:$N$223,MATCH($C140,'Model Inputs'!$D$3:$D$223),8),"")</f>
        <v>0</v>
      </c>
      <c r="J140" s="2">
        <v>15493449.976642877</v>
      </c>
      <c r="K140" s="2">
        <v>15493449.976642877</v>
      </c>
      <c r="L140" s="445">
        <f t="shared" si="4"/>
        <v>0</v>
      </c>
      <c r="M140" s="5"/>
    </row>
    <row r="141" spans="3:13">
      <c r="C141" s="366">
        <v>135</v>
      </c>
      <c r="D141" s="79"/>
      <c r="E141" s="79"/>
      <c r="F141" s="79"/>
      <c r="G141" s="70" t="str">
        <f>IF($C141&lt;=vars_OWSA,INDEX('Model Inputs'!$D$3:$N$223,MATCH($C141,'Model Inputs'!$D$3:$D$223,0),2),"")</f>
        <v>Average Unit Cost of Custom 3 Management at Private Other Locations</v>
      </c>
      <c r="H141" s="270">
        <f>IF($C141&lt;=vars_OWSA,INDEX('Model Inputs'!$D$3:$N$223,MATCH($C141,'Model Inputs'!$D$3:$D$223),7),"")</f>
        <v>0</v>
      </c>
      <c r="I141" s="270">
        <f>IF($C141&lt;=vars_OWSA,INDEX('Model Inputs'!$D$3:$N$223,MATCH($C141,'Model Inputs'!$D$3:$D$223),8),"")</f>
        <v>0</v>
      </c>
      <c r="J141" s="2">
        <v>15493449.976642877</v>
      </c>
      <c r="K141" s="2">
        <v>15493449.976642877</v>
      </c>
      <c r="L141" s="445">
        <f t="shared" si="4"/>
        <v>0</v>
      </c>
      <c r="M141" s="5"/>
    </row>
    <row r="142" spans="3:13">
      <c r="C142" s="366">
        <v>136</v>
      </c>
      <c r="D142" s="79"/>
      <c r="E142" s="79"/>
      <c r="F142" s="79"/>
      <c r="G142" s="70" t="str">
        <f>IF($C142&lt;=vars_OWSA,INDEX('Model Inputs'!$D$3:$N$223,MATCH($C142,'Model Inputs'!$D$3:$D$223,0),2),"")</f>
        <v>Average Unit Cost of Custom 3 Management at Other</v>
      </c>
      <c r="H142" s="270">
        <f>IF($C142&lt;=vars_OWSA,INDEX('Model Inputs'!$D$3:$N$223,MATCH($C142,'Model Inputs'!$D$3:$D$223),7),"")</f>
        <v>0</v>
      </c>
      <c r="I142" s="270">
        <f>IF($C142&lt;=vars_OWSA,INDEX('Model Inputs'!$D$3:$N$223,MATCH($C142,'Model Inputs'!$D$3:$D$223),8),"")</f>
        <v>0</v>
      </c>
      <c r="J142" s="2">
        <v>15493449.976642877</v>
      </c>
      <c r="K142" s="2">
        <v>15493449.976642877</v>
      </c>
      <c r="L142" s="445">
        <f t="shared" si="4"/>
        <v>0</v>
      </c>
      <c r="M142" s="5"/>
    </row>
    <row r="143" spans="3:13">
      <c r="C143" s="366">
        <v>137</v>
      </c>
      <c r="D143" s="79"/>
      <c r="E143" s="79"/>
      <c r="F143" s="79"/>
      <c r="G143" s="70" t="str">
        <f>IF($C143&lt;=vars_OWSA,INDEX('Model Inputs'!$D$3:$N$223,MATCH($C143,'Model Inputs'!$D$3:$D$223,0),2),"")</f>
        <v>Average Unit Cost of Custom 4 Management at Public Hospitals</v>
      </c>
      <c r="H143" s="270">
        <f>IF($C143&lt;=vars_OWSA,INDEX('Model Inputs'!$D$3:$N$223,MATCH($C143,'Model Inputs'!$D$3:$D$223),7),"")</f>
        <v>0</v>
      </c>
      <c r="I143" s="270">
        <f>IF($C143&lt;=vars_OWSA,INDEX('Model Inputs'!$D$3:$N$223,MATCH($C143,'Model Inputs'!$D$3:$D$223),8),"")</f>
        <v>0</v>
      </c>
      <c r="J143" s="2">
        <v>15493449.976642877</v>
      </c>
      <c r="K143" s="2">
        <v>15493449.976642877</v>
      </c>
      <c r="L143" s="445">
        <f t="shared" si="4"/>
        <v>0</v>
      </c>
      <c r="M143" s="5"/>
    </row>
    <row r="144" spans="3:13">
      <c r="C144" s="366">
        <v>138</v>
      </c>
      <c r="D144" s="79"/>
      <c r="E144" s="79"/>
      <c r="F144" s="79"/>
      <c r="G144" s="70" t="str">
        <f>IF($C144&lt;=vars_OWSA,INDEX('Model Inputs'!$D$3:$N$223,MATCH($C144,'Model Inputs'!$D$3:$D$223,0),2),"")</f>
        <v>Average Unit Cost of Custom 4 Management at Public Health Centers</v>
      </c>
      <c r="H144" s="270">
        <f>IF($C144&lt;=vars_OWSA,INDEX('Model Inputs'!$D$3:$N$223,MATCH($C144,'Model Inputs'!$D$3:$D$223),7),"")</f>
        <v>0</v>
      </c>
      <c r="I144" s="270">
        <f>IF($C144&lt;=vars_OWSA,INDEX('Model Inputs'!$D$3:$N$223,MATCH($C144,'Model Inputs'!$D$3:$D$223),8),"")</f>
        <v>0</v>
      </c>
      <c r="J144" s="2">
        <v>15493449.976642877</v>
      </c>
      <c r="K144" s="2">
        <v>15493449.976642877</v>
      </c>
      <c r="L144" s="445">
        <f t="shared" si="4"/>
        <v>0</v>
      </c>
      <c r="M144" s="5"/>
    </row>
    <row r="145" spans="3:13">
      <c r="C145" s="366">
        <v>139</v>
      </c>
      <c r="D145" s="79"/>
      <c r="E145" s="79"/>
      <c r="F145" s="79"/>
      <c r="G145" s="70" t="str">
        <f>IF($C145&lt;=vars_OWSA,INDEX('Model Inputs'!$D$3:$N$223,MATCH($C145,'Model Inputs'!$D$3:$D$223,0),2),"")</f>
        <v>Average Unit Cost of Custom 4 Management at Private Hospitals</v>
      </c>
      <c r="H145" s="270">
        <f>IF($C145&lt;=vars_OWSA,INDEX('Model Inputs'!$D$3:$N$223,MATCH($C145,'Model Inputs'!$D$3:$D$223),7),"")</f>
        <v>0</v>
      </c>
      <c r="I145" s="270">
        <f>IF($C145&lt;=vars_OWSA,INDEX('Model Inputs'!$D$3:$N$223,MATCH($C145,'Model Inputs'!$D$3:$D$223),8),"")</f>
        <v>0</v>
      </c>
      <c r="J145" s="2">
        <v>15493449.976642877</v>
      </c>
      <c r="K145" s="2">
        <v>15493449.976642877</v>
      </c>
      <c r="L145" s="445">
        <f t="shared" si="4"/>
        <v>0</v>
      </c>
      <c r="M145" s="5"/>
    </row>
    <row r="146" spans="3:13">
      <c r="C146" s="366">
        <v>140</v>
      </c>
      <c r="D146" s="79"/>
      <c r="E146" s="79"/>
      <c r="F146" s="79"/>
      <c r="G146" s="70" t="str">
        <f>IF($C146&lt;=vars_OWSA,INDEX('Model Inputs'!$D$3:$N$223,MATCH($C146,'Model Inputs'!$D$3:$D$223,0),2),"")</f>
        <v>Average Unit Cost of Custom 4 Management at Private Pharmacies</v>
      </c>
      <c r="H146" s="270">
        <f>IF($C146&lt;=vars_OWSA,INDEX('Model Inputs'!$D$3:$N$223,MATCH($C146,'Model Inputs'!$D$3:$D$223),7),"")</f>
        <v>0</v>
      </c>
      <c r="I146" s="270">
        <f>IF($C146&lt;=vars_OWSA,INDEX('Model Inputs'!$D$3:$N$223,MATCH($C146,'Model Inputs'!$D$3:$D$223),8),"")</f>
        <v>0</v>
      </c>
      <c r="J146" s="2">
        <v>15493449.976642877</v>
      </c>
      <c r="K146" s="2">
        <v>15493449.976642877</v>
      </c>
      <c r="L146" s="445">
        <f t="shared" si="4"/>
        <v>0</v>
      </c>
      <c r="M146" s="5"/>
    </row>
    <row r="147" spans="3:13">
      <c r="C147" s="366">
        <v>141</v>
      </c>
      <c r="D147" s="79"/>
      <c r="E147" s="79"/>
      <c r="F147" s="79"/>
      <c r="G147" s="70" t="str">
        <f>IF($C147&lt;=vars_OWSA,INDEX('Model Inputs'!$D$3:$N$223,MATCH($C147,'Model Inputs'!$D$3:$D$223,0),2),"")</f>
        <v>Average Unit Cost of Custom 4 Management at Private Other Locations</v>
      </c>
      <c r="H147" s="270">
        <f>IF($C147&lt;=vars_OWSA,INDEX('Model Inputs'!$D$3:$N$223,MATCH($C147,'Model Inputs'!$D$3:$D$223),7),"")</f>
        <v>0</v>
      </c>
      <c r="I147" s="270">
        <f>IF($C147&lt;=vars_OWSA,INDEX('Model Inputs'!$D$3:$N$223,MATCH($C147,'Model Inputs'!$D$3:$D$223),8),"")</f>
        <v>0</v>
      </c>
      <c r="J147" s="2">
        <v>15493449.976642877</v>
      </c>
      <c r="K147" s="2">
        <v>15493449.976642877</v>
      </c>
      <c r="L147" s="445">
        <f t="shared" si="4"/>
        <v>0</v>
      </c>
      <c r="M147" s="5"/>
    </row>
    <row r="148" spans="3:13">
      <c r="C148" s="366">
        <v>142</v>
      </c>
      <c r="D148" s="79"/>
      <c r="E148" s="79"/>
      <c r="F148" s="79"/>
      <c r="G148" s="70" t="str">
        <f>IF($C148&lt;=vars_OWSA,INDEX('Model Inputs'!$D$3:$N$223,MATCH($C148,'Model Inputs'!$D$3:$D$223,0),2),"")</f>
        <v>Average Unit Cost of Custom 4 Management at Other</v>
      </c>
      <c r="H148" s="270">
        <f>IF($C148&lt;=vars_OWSA,INDEX('Model Inputs'!$D$3:$N$223,MATCH($C148,'Model Inputs'!$D$3:$D$223),7),"")</f>
        <v>0</v>
      </c>
      <c r="I148" s="270">
        <f>IF($C148&lt;=vars_OWSA,INDEX('Model Inputs'!$D$3:$N$223,MATCH($C148,'Model Inputs'!$D$3:$D$223),8),"")</f>
        <v>0</v>
      </c>
      <c r="J148" s="2">
        <v>15493449.976642877</v>
      </c>
      <c r="K148" s="2">
        <v>15493449.976642877</v>
      </c>
      <c r="L148" s="445">
        <f t="shared" si="4"/>
        <v>0</v>
      </c>
      <c r="M148" s="5"/>
    </row>
    <row r="149" spans="3:13">
      <c r="C149" s="366">
        <v>143</v>
      </c>
      <c r="D149" s="79"/>
      <c r="E149" s="79"/>
      <c r="F149" s="79"/>
      <c r="G149" s="70" t="str">
        <f>IF($C149&lt;=vars_OWSA,INDEX('Model Inputs'!$D$3:$N$223,MATCH($C149,'Model Inputs'!$D$3:$D$223,0),2),"")</f>
        <v>Proportion of Providers  who increase Doses at Public Hospitals</v>
      </c>
      <c r="H149" s="270">
        <f>IF($C149&lt;=vars_OWSA,INDEX('Model Inputs'!$D$3:$N$223,MATCH($C149,'Model Inputs'!$D$3:$D$223),7),"")</f>
        <v>0</v>
      </c>
      <c r="I149" s="270">
        <f>IF($C149&lt;=vars_OWSA,INDEX('Model Inputs'!$D$3:$N$223,MATCH($C149,'Model Inputs'!$D$3:$D$223),8),"")</f>
        <v>0</v>
      </c>
      <c r="J149" s="2">
        <v>15493449.976642877</v>
      </c>
      <c r="K149" s="2">
        <v>15493449.976642877</v>
      </c>
      <c r="L149" s="445">
        <f t="shared" si="4"/>
        <v>0</v>
      </c>
      <c r="M149" s="5"/>
    </row>
    <row r="150" spans="3:13">
      <c r="C150" s="366">
        <v>144</v>
      </c>
      <c r="D150" s="79"/>
      <c r="E150" s="79"/>
      <c r="F150" s="79"/>
      <c r="G150" s="70" t="str">
        <f>IF($C150&lt;=vars_OWSA,INDEX('Model Inputs'!$D$3:$N$223,MATCH($C150,'Model Inputs'!$D$3:$D$223,0),2),"")</f>
        <v>Proportion of Providers  who increase Doses at Public Health Centers</v>
      </c>
      <c r="H150" s="270">
        <f>IF($C150&lt;=vars_OWSA,INDEX('Model Inputs'!$D$3:$N$223,MATCH($C150,'Model Inputs'!$D$3:$D$223),7),"")</f>
        <v>0</v>
      </c>
      <c r="I150" s="270">
        <f>IF($C150&lt;=vars_OWSA,INDEX('Model Inputs'!$D$3:$N$223,MATCH($C150,'Model Inputs'!$D$3:$D$223),8),"")</f>
        <v>0</v>
      </c>
      <c r="J150" s="2">
        <v>15493449.976642877</v>
      </c>
      <c r="K150" s="2">
        <v>15493449.976642877</v>
      </c>
      <c r="L150" s="445">
        <f t="shared" si="4"/>
        <v>0</v>
      </c>
      <c r="M150" s="5"/>
    </row>
    <row r="151" spans="3:13">
      <c r="C151" s="366">
        <v>145</v>
      </c>
      <c r="D151" s="79"/>
      <c r="E151" s="79"/>
      <c r="F151" s="79"/>
      <c r="G151" s="70" t="str">
        <f>IF($C151&lt;=vars_OWSA,INDEX('Model Inputs'!$D$3:$N$223,MATCH($C151,'Model Inputs'!$D$3:$D$223,0),2),"")</f>
        <v>Proportion of Providers  who increase Doses at Private Hospitals</v>
      </c>
      <c r="H151" s="270">
        <f>IF($C151&lt;=vars_OWSA,INDEX('Model Inputs'!$D$3:$N$223,MATCH($C151,'Model Inputs'!$D$3:$D$223),7),"")</f>
        <v>0</v>
      </c>
      <c r="I151" s="270">
        <f>IF($C151&lt;=vars_OWSA,INDEX('Model Inputs'!$D$3:$N$223,MATCH($C151,'Model Inputs'!$D$3:$D$223),8),"")</f>
        <v>0</v>
      </c>
      <c r="J151" s="2">
        <v>15493449.976642877</v>
      </c>
      <c r="K151" s="2">
        <v>15493449.976642877</v>
      </c>
      <c r="L151" s="445">
        <f t="shared" si="4"/>
        <v>0</v>
      </c>
      <c r="M151" s="5"/>
    </row>
    <row r="152" spans="3:13">
      <c r="C152" s="366">
        <v>146</v>
      </c>
      <c r="G152" s="70" t="str">
        <f>IF($C152&lt;=vars_OWSA,INDEX('Model Inputs'!$D$3:$N$223,MATCH($C152,'Model Inputs'!$D$3:$D$223,0),2),"")</f>
        <v>Proportion of Providers  who increase Doses at Private Pharmacies</v>
      </c>
      <c r="H152" s="270">
        <f>IF($C152&lt;=vars_OWSA,INDEX('Model Inputs'!$D$3:$N$223,MATCH($C152,'Model Inputs'!$D$3:$D$223),7),"")</f>
        <v>0</v>
      </c>
      <c r="I152" s="270">
        <f>IF($C152&lt;=vars_OWSA,INDEX('Model Inputs'!$D$3:$N$223,MATCH($C152,'Model Inputs'!$D$3:$D$223),8),"")</f>
        <v>0</v>
      </c>
      <c r="J152" s="2">
        <v>15493449.976642877</v>
      </c>
      <c r="K152" s="2">
        <v>15493449.976642877</v>
      </c>
      <c r="L152" s="445">
        <f t="shared" si="4"/>
        <v>0</v>
      </c>
      <c r="M152" s="5"/>
    </row>
    <row r="153" spans="3:13">
      <c r="C153" s="366">
        <v>147</v>
      </c>
      <c r="G153" s="70" t="str">
        <f>IF($C153&lt;=vars_OWSA,INDEX('Model Inputs'!$D$3:$N$223,MATCH($C153,'Model Inputs'!$D$3:$D$223,0),2),"")</f>
        <v>Proportion of Providers  who increase Doses at Private "Other" Locations</v>
      </c>
      <c r="H153" s="270">
        <f>IF($C153&lt;=vars_OWSA,INDEX('Model Inputs'!$D$3:$N$223,MATCH($C153,'Model Inputs'!$D$3:$D$223),7),"")</f>
        <v>0</v>
      </c>
      <c r="I153" s="270">
        <f>IF($C153&lt;=vars_OWSA,INDEX('Model Inputs'!$D$3:$N$223,MATCH($C153,'Model Inputs'!$D$3:$D$223),8),"")</f>
        <v>0</v>
      </c>
      <c r="J153" s="2">
        <v>15493449.976642877</v>
      </c>
      <c r="K153" s="2">
        <v>15493449.976642877</v>
      </c>
      <c r="L153" s="445">
        <f t="shared" si="4"/>
        <v>0</v>
      </c>
      <c r="M153" s="5"/>
    </row>
    <row r="154" spans="3:13">
      <c r="C154" s="366">
        <v>148</v>
      </c>
      <c r="G154" s="70" t="str">
        <f>IF($C154&lt;=vars_OWSA,INDEX('Model Inputs'!$D$3:$N$223,MATCH($C154,'Model Inputs'!$D$3:$D$223,0),2),"")</f>
        <v>Proportion of Providers  who increase Doses at Other</v>
      </c>
      <c r="H154" s="270">
        <f>IF($C154&lt;=vars_OWSA,INDEX('Model Inputs'!$D$3:$N$223,MATCH($C154,'Model Inputs'!$D$3:$D$223),7),"")</f>
        <v>0</v>
      </c>
      <c r="I154" s="270">
        <f>IF($C154&lt;=vars_OWSA,INDEX('Model Inputs'!$D$3:$N$223,MATCH($C154,'Model Inputs'!$D$3:$D$223),8),"")</f>
        <v>0</v>
      </c>
      <c r="J154" s="2">
        <v>15493449.976642877</v>
      </c>
      <c r="K154" s="2">
        <v>15493449.976642877</v>
      </c>
      <c r="L154" s="446">
        <f t="shared" si="4"/>
        <v>0</v>
      </c>
      <c r="M154" s="5"/>
    </row>
    <row r="155" spans="3:13">
      <c r="J155" s="2">
        <v>15493449.976642877</v>
      </c>
      <c r="K155" s="2">
        <v>15493449.976642877</v>
      </c>
    </row>
    <row r="156" spans="3:13">
      <c r="J156" s="2">
        <v>15493449.976642877</v>
      </c>
      <c r="K156" s="2">
        <v>15493449.976642877</v>
      </c>
    </row>
    <row r="157" spans="3:13">
      <c r="J157" s="2">
        <v>15493449.976642877</v>
      </c>
      <c r="K157" s="2">
        <v>15493449.976642877</v>
      </c>
    </row>
    <row r="158" spans="3:13">
      <c r="J158" s="2">
        <v>15493449.976642877</v>
      </c>
      <c r="K158" s="2">
        <v>15493449.976642877</v>
      </c>
    </row>
    <row r="159" spans="3:13">
      <c r="J159" s="2">
        <v>15493449.976642877</v>
      </c>
      <c r="K159" s="2">
        <v>15493449.976642877</v>
      </c>
    </row>
    <row r="160" spans="3:13">
      <c r="J160" s="2">
        <v>22576169.965965398</v>
      </c>
      <c r="K160" s="2">
        <v>22576169.965965398</v>
      </c>
    </row>
  </sheetData>
  <sortState xmlns:xlrd2="http://schemas.microsoft.com/office/spreadsheetml/2017/richdata2" ref="C7:L154">
    <sortCondition descending="1" ref="L6:L154"/>
  </sortState>
  <mergeCells count="11">
    <mergeCell ref="B24:B25"/>
    <mergeCell ref="M3:M4"/>
    <mergeCell ref="D3:E4"/>
    <mergeCell ref="I3:I4"/>
    <mergeCell ref="L3:L4"/>
    <mergeCell ref="B4:B5"/>
    <mergeCell ref="B7:B8"/>
    <mergeCell ref="B10:B11"/>
    <mergeCell ref="B13:B14"/>
    <mergeCell ref="B16:B17"/>
    <mergeCell ref="B19:B22"/>
  </mergeCells>
  <conditionalFormatting sqref="L7:L154">
    <cfRule type="expression" dxfId="0" priority="1">
      <formula>MOD(ROW(),2)=0</formula>
    </cfRule>
  </conditionalFormatting>
  <hyperlinks>
    <hyperlink ref="B4" location="Overview!A1" display="Overview" xr:uid="{A98C8672-EB46-DB4A-B4DB-E5440F72FA0E}"/>
    <hyperlink ref="B10" location="Inputs!A1" display="Inputs" xr:uid="{73D53E84-EE08-5A44-836E-81DDB915BBAC}"/>
    <hyperlink ref="B13" location="Model!A1" display="Model" xr:uid="{44B45A9F-E8DD-A940-830B-528BF6EAC848}"/>
    <hyperlink ref="B16" location="Results!A1" display="Results" xr:uid="{0FE8485F-E533-E545-969C-5B3A9318E931}"/>
    <hyperlink ref="B19" location="OWSA!A1" display="One-Way Sensitivity Analysis" xr:uid="{E5761485-A66D-7C4D-B912-DC9B615CD2FD}"/>
    <hyperlink ref="B7" location="Inputs!A1" display="Inputs" xr:uid="{0AD1618E-D75D-8943-B8EB-A91F60DD5D65}"/>
    <hyperlink ref="B13:B14" location="Model!A1" display="Model" xr:uid="{44297C34-E083-3240-924C-F97D23DA5DC4}"/>
    <hyperlink ref="B10:B11" location="'Model Inputs'!A1" display="Model Inputs" xr:uid="{53159FD8-82F5-8148-AD0D-9900D63ECB54}"/>
    <hyperlink ref="B7:B8" location="Setting!A1" display="Setting" xr:uid="{6F9DA840-91EC-9C4F-A991-633FE735C510}"/>
    <hyperlink ref="B4:B5" location="Overview!A1" display="Overview" xr:uid="{CD1D11F4-39CD-DB45-A1F3-8E4768A1C7D0}"/>
    <hyperlink ref="B24" location="Overview!A1" display="Overview" xr:uid="{66DF5A7C-463D-4246-9D51-6873AA2B6632}"/>
    <hyperlink ref="B24:B25" location="Appendix!A1" display="Appendix" xr:uid="{55698980-B29B-0E49-9EC4-CE166850D0BE}"/>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B948AF7E-1811-AC44-BDA6-CC5DF1877C71}">
          <x14:formula1>
            <xm:f>Appendix!$D$12:$D$20</xm:f>
          </x14:formula1>
          <xm:sqref>J4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71DB2-83E3-2348-BF42-0010E0A20885}">
  <sheetPr codeName="Sheet2"/>
  <dimension ref="B3:K77"/>
  <sheetViews>
    <sheetView topLeftCell="A2" workbookViewId="0">
      <selection activeCell="D12" sqref="D12"/>
    </sheetView>
  </sheetViews>
  <sheetFormatPr defaultColWidth="10.83203125" defaultRowHeight="18.5"/>
  <cols>
    <col min="1" max="1" width="10.83203125" style="79"/>
    <col min="2" max="2" width="19.33203125" style="233" customWidth="1"/>
    <col min="3" max="3" width="4.83203125" style="79" customWidth="1"/>
    <col min="4" max="4" width="24.5" style="79" customWidth="1"/>
    <col min="5" max="16384" width="10.83203125" style="79"/>
  </cols>
  <sheetData>
    <row r="3" spans="2:11">
      <c r="B3" s="236"/>
      <c r="D3" s="612" t="s">
        <v>29</v>
      </c>
      <c r="E3" s="612"/>
      <c r="F3" s="311"/>
      <c r="G3" s="311"/>
    </row>
    <row r="4" spans="2:11" ht="15.5">
      <c r="B4" s="607" t="s">
        <v>1</v>
      </c>
      <c r="D4" s="314" t="s">
        <v>441</v>
      </c>
      <c r="E4" s="315"/>
      <c r="F4" s="315"/>
      <c r="G4" s="315"/>
      <c r="H4" s="316"/>
      <c r="I4" s="316"/>
      <c r="J4" s="316"/>
      <c r="K4" s="317"/>
    </row>
    <row r="5" spans="2:11" ht="15.5">
      <c r="B5" s="607"/>
      <c r="D5" s="318"/>
      <c r="E5" s="313"/>
      <c r="F5" s="312"/>
      <c r="G5" s="312"/>
      <c r="K5" s="97"/>
    </row>
    <row r="6" spans="2:11">
      <c r="B6" s="273"/>
      <c r="D6" s="319" t="s">
        <v>442</v>
      </c>
      <c r="E6" s="312"/>
      <c r="F6" s="312"/>
      <c r="G6" s="312"/>
      <c r="K6" s="97"/>
    </row>
    <row r="7" spans="2:11" ht="15.5">
      <c r="B7" s="607" t="s">
        <v>5</v>
      </c>
      <c r="D7" s="320" t="s">
        <v>443</v>
      </c>
      <c r="E7" s="312" t="b">
        <v>0</v>
      </c>
      <c r="F7" s="312"/>
      <c r="G7" s="312"/>
      <c r="K7" s="97"/>
    </row>
    <row r="8" spans="2:11" ht="15.5">
      <c r="B8" s="607"/>
      <c r="D8" s="320" t="s">
        <v>444</v>
      </c>
      <c r="E8" s="312" t="b">
        <v>0</v>
      </c>
      <c r="F8" s="312"/>
      <c r="G8" s="312"/>
      <c r="K8" s="97"/>
    </row>
    <row r="9" spans="2:11">
      <c r="B9" s="236"/>
      <c r="D9" s="166"/>
      <c r="F9" s="312"/>
      <c r="G9" s="312"/>
      <c r="K9" s="97"/>
    </row>
    <row r="10" spans="2:11" ht="15.5">
      <c r="B10" s="607" t="s">
        <v>8</v>
      </c>
      <c r="D10" s="166"/>
      <c r="K10" s="97"/>
    </row>
    <row r="11" spans="2:11" ht="15.5">
      <c r="B11" s="607"/>
      <c r="D11" s="323" t="s">
        <v>15</v>
      </c>
      <c r="K11" s="97"/>
    </row>
    <row r="12" spans="2:11">
      <c r="B12" s="236"/>
      <c r="D12" s="166" t="s">
        <v>434</v>
      </c>
      <c r="K12" s="97"/>
    </row>
    <row r="13" spans="2:11" ht="15.5">
      <c r="B13" s="607" t="s">
        <v>12</v>
      </c>
      <c r="D13" s="166" t="s">
        <v>445</v>
      </c>
      <c r="K13" s="97"/>
    </row>
    <row r="14" spans="2:11" ht="15.5">
      <c r="B14" s="607"/>
      <c r="D14" s="166" t="s">
        <v>446</v>
      </c>
      <c r="K14" s="97"/>
    </row>
    <row r="15" spans="2:11">
      <c r="B15" s="236"/>
      <c r="D15" s="166" t="s">
        <v>447</v>
      </c>
      <c r="K15" s="97"/>
    </row>
    <row r="16" spans="2:11" ht="15.5">
      <c r="B16" s="607" t="s">
        <v>15</v>
      </c>
      <c r="D16" s="166" t="s">
        <v>448</v>
      </c>
      <c r="K16" s="97"/>
    </row>
    <row r="17" spans="2:11" ht="15.5">
      <c r="B17" s="607"/>
      <c r="D17" s="166" t="str">
        <f>_xlfn.CONCAT("Incremental ",Setting!E16)</f>
        <v>Incremental severe pneumonia</v>
      </c>
      <c r="K17" s="97"/>
    </row>
    <row r="18" spans="2:11">
      <c r="B18" s="234"/>
      <c r="D18" s="166" t="str">
        <f>_xlfn.CONCAT("Incremental ",Setting!E17)</f>
        <v>Incremental very severe pneumonia</v>
      </c>
      <c r="K18" s="97"/>
    </row>
    <row r="19" spans="2:11" ht="15.5">
      <c r="B19" s="543" t="s">
        <v>18</v>
      </c>
      <c r="D19" s="166" t="str">
        <f>_xlfn.CONCAT("Incremental ",Setting!E18)</f>
        <v>Incremental Custom 3</v>
      </c>
      <c r="K19" s="97"/>
    </row>
    <row r="20" spans="2:11" ht="15.5">
      <c r="B20" s="611"/>
      <c r="D20" s="166" t="str">
        <f>_xlfn.CONCAT("Incremental ",Setting!E19)</f>
        <v>Incremental Custom 4</v>
      </c>
      <c r="K20" s="97"/>
    </row>
    <row r="21" spans="2:11" ht="15.5">
      <c r="B21" s="611"/>
      <c r="D21" s="166"/>
      <c r="K21" s="97"/>
    </row>
    <row r="22" spans="2:11" ht="15.5">
      <c r="B22" s="544"/>
      <c r="D22" s="321"/>
      <c r="E22" s="266"/>
      <c r="F22" s="266"/>
      <c r="G22" s="266"/>
      <c r="H22" s="266"/>
      <c r="I22" s="266"/>
      <c r="J22" s="266"/>
      <c r="K22" s="322"/>
    </row>
    <row r="23" spans="2:11">
      <c r="B23" s="251"/>
    </row>
    <row r="24" spans="2:11" ht="15.5">
      <c r="B24" s="608" t="s">
        <v>29</v>
      </c>
    </row>
    <row r="25" spans="2:11" ht="15.5">
      <c r="B25" s="610"/>
    </row>
    <row r="26" spans="2:11">
      <c r="B26" s="237"/>
    </row>
    <row r="27" spans="2:11">
      <c r="B27" s="237"/>
    </row>
    <row r="28" spans="2:11">
      <c r="B28" s="237"/>
    </row>
    <row r="29" spans="2:11">
      <c r="B29" s="237"/>
    </row>
    <row r="30" spans="2:11">
      <c r="B30" s="237"/>
    </row>
    <row r="31" spans="2:11">
      <c r="B31" s="237"/>
    </row>
    <row r="32" spans="2:11">
      <c r="B32" s="237"/>
    </row>
    <row r="33" spans="2:2">
      <c r="B33" s="237"/>
    </row>
    <row r="34" spans="2:2">
      <c r="B34" s="236"/>
    </row>
    <row r="35" spans="2:2">
      <c r="B35" s="236"/>
    </row>
    <row r="36" spans="2:2">
      <c r="B36" s="236"/>
    </row>
    <row r="37" spans="2:2">
      <c r="B37" s="236"/>
    </row>
    <row r="38" spans="2:2">
      <c r="B38" s="236"/>
    </row>
    <row r="51" spans="2:2">
      <c r="B51" s="236"/>
    </row>
    <row r="52" spans="2:2">
      <c r="B52" s="236"/>
    </row>
    <row r="53" spans="2:2">
      <c r="B53" s="236"/>
    </row>
    <row r="54" spans="2:2">
      <c r="B54" s="236"/>
    </row>
    <row r="55" spans="2:2">
      <c r="B55" s="236"/>
    </row>
    <row r="56" spans="2:2">
      <c r="B56" s="236"/>
    </row>
    <row r="57" spans="2:2">
      <c r="B57" s="236"/>
    </row>
    <row r="58" spans="2:2">
      <c r="B58" s="236"/>
    </row>
    <row r="59" spans="2:2">
      <c r="B59" s="236"/>
    </row>
    <row r="60" spans="2:2">
      <c r="B60" s="236"/>
    </row>
    <row r="61" spans="2:2">
      <c r="B61" s="236"/>
    </row>
    <row r="62" spans="2:2">
      <c r="B62" s="236"/>
    </row>
    <row r="63" spans="2:2">
      <c r="B63" s="236"/>
    </row>
    <row r="64" spans="2:2">
      <c r="B64" s="236"/>
    </row>
    <row r="65" spans="2:2">
      <c r="B65" s="236"/>
    </row>
    <row r="66" spans="2:2">
      <c r="B66" s="236"/>
    </row>
    <row r="67" spans="2:2">
      <c r="B67" s="236"/>
    </row>
    <row r="68" spans="2:2">
      <c r="B68" s="236"/>
    </row>
    <row r="69" spans="2:2">
      <c r="B69" s="236"/>
    </row>
    <row r="70" spans="2:2">
      <c r="B70" s="236"/>
    </row>
    <row r="71" spans="2:2">
      <c r="B71" s="236"/>
    </row>
    <row r="72" spans="2:2">
      <c r="B72" s="236"/>
    </row>
    <row r="73" spans="2:2">
      <c r="B73" s="236"/>
    </row>
    <row r="74" spans="2:2">
      <c r="B74" s="236"/>
    </row>
    <row r="75" spans="2:2">
      <c r="B75" s="236"/>
    </row>
    <row r="76" spans="2:2">
      <c r="B76" s="236"/>
    </row>
    <row r="77" spans="2:2">
      <c r="B77" s="236"/>
    </row>
  </sheetData>
  <mergeCells count="8">
    <mergeCell ref="B16:B17"/>
    <mergeCell ref="B19:B22"/>
    <mergeCell ref="B24:B25"/>
    <mergeCell ref="D3:E3"/>
    <mergeCell ref="B4:B5"/>
    <mergeCell ref="B7:B8"/>
    <mergeCell ref="B10:B11"/>
    <mergeCell ref="B13:B14"/>
  </mergeCells>
  <hyperlinks>
    <hyperlink ref="B4" location="Overview!A1" display="Overview" xr:uid="{DB8C3DD0-4B46-DD4B-BC23-84C73D4D2334}"/>
    <hyperlink ref="B10" location="Inputs!A1" display="Inputs" xr:uid="{FAE45DAA-3E9D-064B-BDBC-78AB0F0AFA0C}"/>
    <hyperlink ref="B13" location="Model!A1" display="Model" xr:uid="{6BDF4D10-328B-564D-A0D7-449C418AD349}"/>
    <hyperlink ref="B16" location="Results!A1" display="Results" xr:uid="{6072AB6B-30FC-6941-8339-FFCBA9A98D7A}"/>
    <hyperlink ref="B19" location="OWSA!A1" display="One-Way Sensitivity Analysis" xr:uid="{8A1CA543-EFDD-0E4B-8382-AB4F741A78E6}"/>
    <hyperlink ref="B7" location="Inputs!A1" display="Inputs" xr:uid="{18AB2023-3DFD-6640-9840-66E8816622E1}"/>
    <hyperlink ref="B13:B14" location="Model!A1" display="Model" xr:uid="{B7013F8A-AE68-2643-A9AC-19FA3279A61D}"/>
    <hyperlink ref="B10:B11" location="'Model Inputs'!A1" display="Model Inputs" xr:uid="{38A4C75F-609D-2247-84D9-77F5932B2D2B}"/>
    <hyperlink ref="B7:B8" location="Setting!A1" display="Setting" xr:uid="{0F2E260A-E234-924E-91DC-C829CB367FB9}"/>
    <hyperlink ref="B4:B5" location="Overview!A1" display="Overview" xr:uid="{E827F20A-D983-4F4C-B537-2D326A410E3C}"/>
    <hyperlink ref="B24" location="Overview!A1" display="Overview" xr:uid="{12D55F85-1719-5547-AD39-7E4AA52F8734}"/>
    <hyperlink ref="B24:B25" location="Appendix!A1" display="Appendix" xr:uid="{1CC85095-ABB8-9D40-A076-5752B85113FF}"/>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67770-0B5F-CA45-8830-C73492D23CB3}">
  <sheetPr codeName="Sheet13"/>
  <dimension ref="A1:B205"/>
  <sheetViews>
    <sheetView workbookViewId="0">
      <selection activeCell="G9" sqref="G9"/>
    </sheetView>
  </sheetViews>
  <sheetFormatPr defaultColWidth="11" defaultRowHeight="15.5"/>
  <cols>
    <col min="1" max="1" width="32.33203125" bestFit="1" customWidth="1"/>
  </cols>
  <sheetData>
    <row r="1" spans="1:2">
      <c r="A1" s="9" t="s">
        <v>449</v>
      </c>
      <c r="B1" s="9" t="s">
        <v>450</v>
      </c>
    </row>
    <row r="2" spans="1:2">
      <c r="A2" s="10" t="s">
        <v>451</v>
      </c>
      <c r="B2" t="s">
        <v>57</v>
      </c>
    </row>
    <row r="3" spans="1:2">
      <c r="A3" s="10" t="s">
        <v>452</v>
      </c>
      <c r="B3" t="s">
        <v>398</v>
      </c>
    </row>
    <row r="4" spans="1:2">
      <c r="A4" s="10" t="s">
        <v>453</v>
      </c>
    </row>
    <row r="5" spans="1:2">
      <c r="A5" s="10" t="s">
        <v>454</v>
      </c>
    </row>
    <row r="6" spans="1:2">
      <c r="A6" t="s">
        <v>455</v>
      </c>
    </row>
    <row r="7" spans="1:2">
      <c r="A7" t="s">
        <v>456</v>
      </c>
    </row>
    <row r="8" spans="1:2">
      <c r="A8" s="10" t="s">
        <v>457</v>
      </c>
    </row>
    <row r="9" spans="1:2">
      <c r="A9" s="10" t="s">
        <v>458</v>
      </c>
    </row>
    <row r="10" spans="1:2">
      <c r="A10" t="s">
        <v>459</v>
      </c>
    </row>
    <row r="11" spans="1:2">
      <c r="A11" s="10" t="s">
        <v>460</v>
      </c>
    </row>
    <row r="12" spans="1:2">
      <c r="A12" t="s">
        <v>461</v>
      </c>
    </row>
    <row r="13" spans="1:2">
      <c r="A13" s="10" t="s">
        <v>462</v>
      </c>
    </row>
    <row r="14" spans="1:2">
      <c r="A14" s="10" t="s">
        <v>463</v>
      </c>
    </row>
    <row r="15" spans="1:2">
      <c r="A15" s="10" t="s">
        <v>464</v>
      </c>
    </row>
    <row r="16" spans="1:2">
      <c r="A16" s="10" t="s">
        <v>465</v>
      </c>
    </row>
    <row r="17" spans="1:1">
      <c r="A17" s="10" t="s">
        <v>466</v>
      </c>
    </row>
    <row r="18" spans="1:1">
      <c r="A18" s="10" t="s">
        <v>467</v>
      </c>
    </row>
    <row r="19" spans="1:1">
      <c r="A19" s="10" t="s">
        <v>468</v>
      </c>
    </row>
    <row r="20" spans="1:1">
      <c r="A20" s="10" t="s">
        <v>469</v>
      </c>
    </row>
    <row r="21" spans="1:1">
      <c r="A21" s="10" t="s">
        <v>470</v>
      </c>
    </row>
    <row r="22" spans="1:1">
      <c r="A22" s="10" t="s">
        <v>471</v>
      </c>
    </row>
    <row r="23" spans="1:1">
      <c r="A23" s="10" t="s">
        <v>472</v>
      </c>
    </row>
    <row r="24" spans="1:1">
      <c r="A24" s="10" t="s">
        <v>473</v>
      </c>
    </row>
    <row r="25" spans="1:1">
      <c r="A25" s="10" t="s">
        <v>474</v>
      </c>
    </row>
    <row r="26" spans="1:1">
      <c r="A26" s="10" t="s">
        <v>475</v>
      </c>
    </row>
    <row r="27" spans="1:1">
      <c r="A27" s="10" t="s">
        <v>476</v>
      </c>
    </row>
    <row r="28" spans="1:1">
      <c r="A28" s="10" t="s">
        <v>477</v>
      </c>
    </row>
    <row r="29" spans="1:1">
      <c r="A29" t="s">
        <v>478</v>
      </c>
    </row>
    <row r="30" spans="1:1">
      <c r="A30" s="10" t="s">
        <v>479</v>
      </c>
    </row>
    <row r="31" spans="1:1">
      <c r="A31" t="s">
        <v>480</v>
      </c>
    </row>
    <row r="32" spans="1:1">
      <c r="A32" s="10" t="s">
        <v>481</v>
      </c>
    </row>
    <row r="33" spans="1:1">
      <c r="A33" s="10" t="s">
        <v>482</v>
      </c>
    </row>
    <row r="34" spans="1:1">
      <c r="A34" s="10" t="s">
        <v>483</v>
      </c>
    </row>
    <row r="35" spans="1:1">
      <c r="A35" s="10" t="s">
        <v>484</v>
      </c>
    </row>
    <row r="36" spans="1:1">
      <c r="A36" s="10" t="s">
        <v>485</v>
      </c>
    </row>
    <row r="37" spans="1:1">
      <c r="A37" s="10" t="s">
        <v>486</v>
      </c>
    </row>
    <row r="38" spans="1:1">
      <c r="A38" s="10" t="s">
        <v>487</v>
      </c>
    </row>
    <row r="39" spans="1:1">
      <c r="A39" s="10" t="s">
        <v>488</v>
      </c>
    </row>
    <row r="40" spans="1:1">
      <c r="A40" s="10" t="s">
        <v>489</v>
      </c>
    </row>
    <row r="41" spans="1:1">
      <c r="A41" s="10" t="s">
        <v>490</v>
      </c>
    </row>
    <row r="42" spans="1:1">
      <c r="A42" s="10" t="s">
        <v>491</v>
      </c>
    </row>
    <row r="43" spans="1:1">
      <c r="A43" s="10" t="s">
        <v>492</v>
      </c>
    </row>
    <row r="44" spans="1:1">
      <c r="A44" s="10" t="s">
        <v>493</v>
      </c>
    </row>
    <row r="45" spans="1:1">
      <c r="A45" s="10" t="s">
        <v>494</v>
      </c>
    </row>
    <row r="46" spans="1:1">
      <c r="A46" s="10" t="s">
        <v>495</v>
      </c>
    </row>
    <row r="47" spans="1:1">
      <c r="A47" s="10" t="s">
        <v>496</v>
      </c>
    </row>
    <row r="48" spans="1:1">
      <c r="A48" s="10" t="s">
        <v>497</v>
      </c>
    </row>
    <row r="49" spans="1:1">
      <c r="A49" s="10" t="s">
        <v>498</v>
      </c>
    </row>
    <row r="50" spans="1:1">
      <c r="A50" s="10" t="s">
        <v>499</v>
      </c>
    </row>
    <row r="51" spans="1:1">
      <c r="A51" s="10" t="s">
        <v>500</v>
      </c>
    </row>
    <row r="52" spans="1:1">
      <c r="A52" s="10" t="s">
        <v>501</v>
      </c>
    </row>
    <row r="53" spans="1:1">
      <c r="A53" s="10" t="s">
        <v>502</v>
      </c>
    </row>
    <row r="54" spans="1:1">
      <c r="A54" s="10" t="s">
        <v>503</v>
      </c>
    </row>
    <row r="55" spans="1:1">
      <c r="A55" s="10" t="s">
        <v>504</v>
      </c>
    </row>
    <row r="56" spans="1:1">
      <c r="A56" s="10" t="s">
        <v>505</v>
      </c>
    </row>
    <row r="57" spans="1:1">
      <c r="A57" s="10" t="s">
        <v>506</v>
      </c>
    </row>
    <row r="58" spans="1:1">
      <c r="A58" s="10" t="s">
        <v>507</v>
      </c>
    </row>
    <row r="59" spans="1:1">
      <c r="A59" s="10" t="s">
        <v>508</v>
      </c>
    </row>
    <row r="60" spans="1:1">
      <c r="A60" s="10" t="s">
        <v>509</v>
      </c>
    </row>
    <row r="61" spans="1:1">
      <c r="A61" s="10" t="s">
        <v>510</v>
      </c>
    </row>
    <row r="62" spans="1:1">
      <c r="A62" s="10" t="s">
        <v>511</v>
      </c>
    </row>
    <row r="63" spans="1:1">
      <c r="A63" s="10" t="s">
        <v>512</v>
      </c>
    </row>
    <row r="64" spans="1:1">
      <c r="A64" s="10" t="s">
        <v>513</v>
      </c>
    </row>
    <row r="65" spans="1:1">
      <c r="A65" s="10" t="s">
        <v>514</v>
      </c>
    </row>
    <row r="66" spans="1:1">
      <c r="A66" s="10" t="s">
        <v>515</v>
      </c>
    </row>
    <row r="67" spans="1:1">
      <c r="A67" s="10" t="s">
        <v>516</v>
      </c>
    </row>
    <row r="68" spans="1:1">
      <c r="A68" s="10" t="s">
        <v>517</v>
      </c>
    </row>
    <row r="69" spans="1:1">
      <c r="A69" s="10" t="s">
        <v>518</v>
      </c>
    </row>
    <row r="70" spans="1:1">
      <c r="A70" s="10" t="s">
        <v>519</v>
      </c>
    </row>
    <row r="71" spans="1:1">
      <c r="A71" s="10" t="s">
        <v>520</v>
      </c>
    </row>
    <row r="72" spans="1:1">
      <c r="A72" s="10" t="s">
        <v>521</v>
      </c>
    </row>
    <row r="73" spans="1:1">
      <c r="A73" s="10" t="s">
        <v>522</v>
      </c>
    </row>
    <row r="74" spans="1:1">
      <c r="A74" s="10" t="s">
        <v>523</v>
      </c>
    </row>
    <row r="75" spans="1:1">
      <c r="A75" s="10" t="s">
        <v>524</v>
      </c>
    </row>
    <row r="76" spans="1:1">
      <c r="A76" s="10" t="s">
        <v>525</v>
      </c>
    </row>
    <row r="77" spans="1:1">
      <c r="A77" s="10" t="s">
        <v>526</v>
      </c>
    </row>
    <row r="78" spans="1:1">
      <c r="A78" s="10" t="s">
        <v>527</v>
      </c>
    </row>
    <row r="79" spans="1:1">
      <c r="A79" s="10" t="s">
        <v>528</v>
      </c>
    </row>
    <row r="80" spans="1:1">
      <c r="A80" s="10" t="s">
        <v>529</v>
      </c>
    </row>
    <row r="81" spans="1:1">
      <c r="A81" s="10" t="s">
        <v>530</v>
      </c>
    </row>
    <row r="82" spans="1:1">
      <c r="A82" s="10" t="s">
        <v>531</v>
      </c>
    </row>
    <row r="83" spans="1:1">
      <c r="A83" s="10" t="s">
        <v>532</v>
      </c>
    </row>
    <row r="84" spans="1:1">
      <c r="A84" s="10" t="s">
        <v>533</v>
      </c>
    </row>
    <row r="85" spans="1:1">
      <c r="A85" s="10" t="s">
        <v>534</v>
      </c>
    </row>
    <row r="86" spans="1:1">
      <c r="A86" s="10" t="s">
        <v>535</v>
      </c>
    </row>
    <row r="87" spans="1:1">
      <c r="A87" s="10" t="s">
        <v>536</v>
      </c>
    </row>
    <row r="88" spans="1:1">
      <c r="A88" s="10" t="s">
        <v>537</v>
      </c>
    </row>
    <row r="89" spans="1:1">
      <c r="A89" s="10" t="s">
        <v>538</v>
      </c>
    </row>
    <row r="90" spans="1:1">
      <c r="A90" s="10" t="s">
        <v>539</v>
      </c>
    </row>
    <row r="91" spans="1:1">
      <c r="A91" s="10" t="s">
        <v>540</v>
      </c>
    </row>
    <row r="92" spans="1:1">
      <c r="A92" s="10" t="s">
        <v>541</v>
      </c>
    </row>
    <row r="93" spans="1:1">
      <c r="A93" s="10" t="s">
        <v>542</v>
      </c>
    </row>
    <row r="94" spans="1:1">
      <c r="A94" s="10" t="s">
        <v>543</v>
      </c>
    </row>
    <row r="95" spans="1:1">
      <c r="A95" s="10" t="s">
        <v>544</v>
      </c>
    </row>
    <row r="96" spans="1:1">
      <c r="A96" s="10" t="s">
        <v>545</v>
      </c>
    </row>
    <row r="97" spans="1:1">
      <c r="A97" s="10" t="s">
        <v>55</v>
      </c>
    </row>
    <row r="98" spans="1:1">
      <c r="A98" s="10" t="s">
        <v>546</v>
      </c>
    </row>
    <row r="99" spans="1:1">
      <c r="A99" s="10" t="s">
        <v>547</v>
      </c>
    </row>
    <row r="100" spans="1:1">
      <c r="A100" s="10" t="s">
        <v>548</v>
      </c>
    </row>
    <row r="101" spans="1:1">
      <c r="A101" s="10" t="s">
        <v>549</v>
      </c>
    </row>
    <row r="102" spans="1:1">
      <c r="A102" s="10" t="s">
        <v>550</v>
      </c>
    </row>
    <row r="103" spans="1:1">
      <c r="A103" s="10" t="s">
        <v>551</v>
      </c>
    </row>
    <row r="104" spans="1:1">
      <c r="A104" s="10" t="s">
        <v>552</v>
      </c>
    </row>
    <row r="105" spans="1:1">
      <c r="A105" s="10" t="s">
        <v>553</v>
      </c>
    </row>
    <row r="106" spans="1:1">
      <c r="A106" s="10" t="s">
        <v>554</v>
      </c>
    </row>
    <row r="107" spans="1:1">
      <c r="A107" s="10" t="s">
        <v>555</v>
      </c>
    </row>
    <row r="108" spans="1:1">
      <c r="A108" s="10" t="s">
        <v>556</v>
      </c>
    </row>
    <row r="109" spans="1:1">
      <c r="A109" s="10" t="s">
        <v>557</v>
      </c>
    </row>
    <row r="110" spans="1:1">
      <c r="A110" s="10" t="s">
        <v>558</v>
      </c>
    </row>
    <row r="111" spans="1:1">
      <c r="A111" s="10" t="s">
        <v>559</v>
      </c>
    </row>
    <row r="112" spans="1:1">
      <c r="A112" s="10" t="s">
        <v>560</v>
      </c>
    </row>
    <row r="113" spans="1:1">
      <c r="A113" s="10" t="s">
        <v>561</v>
      </c>
    </row>
    <row r="114" spans="1:1">
      <c r="A114" s="10" t="s">
        <v>562</v>
      </c>
    </row>
    <row r="115" spans="1:1">
      <c r="A115" s="10" t="s">
        <v>563</v>
      </c>
    </row>
    <row r="116" spans="1:1">
      <c r="A116" s="10" t="s">
        <v>564</v>
      </c>
    </row>
    <row r="117" spans="1:1">
      <c r="A117" t="s">
        <v>565</v>
      </c>
    </row>
    <row r="118" spans="1:1">
      <c r="A118" t="s">
        <v>566</v>
      </c>
    </row>
    <row r="119" spans="1:1">
      <c r="A119" t="s">
        <v>567</v>
      </c>
    </row>
    <row r="120" spans="1:1">
      <c r="A120" t="s">
        <v>568</v>
      </c>
    </row>
    <row r="121" spans="1:1">
      <c r="A121" t="s">
        <v>569</v>
      </c>
    </row>
    <row r="122" spans="1:1">
      <c r="A122" t="s">
        <v>570</v>
      </c>
    </row>
    <row r="123" spans="1:1">
      <c r="A123" t="s">
        <v>571</v>
      </c>
    </row>
    <row r="124" spans="1:1">
      <c r="A124" t="s">
        <v>572</v>
      </c>
    </row>
    <row r="125" spans="1:1">
      <c r="A125" t="s">
        <v>573</v>
      </c>
    </row>
    <row r="126" spans="1:1">
      <c r="A126" t="s">
        <v>574</v>
      </c>
    </row>
    <row r="127" spans="1:1">
      <c r="A127" t="s">
        <v>575</v>
      </c>
    </row>
    <row r="128" spans="1:1">
      <c r="A128" t="s">
        <v>576</v>
      </c>
    </row>
    <row r="129" spans="1:1">
      <c r="A129" t="s">
        <v>577</v>
      </c>
    </row>
    <row r="130" spans="1:1">
      <c r="A130" t="s">
        <v>578</v>
      </c>
    </row>
    <row r="131" spans="1:1">
      <c r="A131" t="s">
        <v>579</v>
      </c>
    </row>
    <row r="132" spans="1:1">
      <c r="A132" t="s">
        <v>580</v>
      </c>
    </row>
    <row r="133" spans="1:1">
      <c r="A133" t="s">
        <v>581</v>
      </c>
    </row>
    <row r="134" spans="1:1">
      <c r="A134" t="s">
        <v>582</v>
      </c>
    </row>
    <row r="135" spans="1:1">
      <c r="A135" t="s">
        <v>583</v>
      </c>
    </row>
    <row r="136" spans="1:1">
      <c r="A136" t="s">
        <v>584</v>
      </c>
    </row>
    <row r="137" spans="1:1">
      <c r="A137" t="s">
        <v>585</v>
      </c>
    </row>
    <row r="138" spans="1:1">
      <c r="A138" t="s">
        <v>586</v>
      </c>
    </row>
    <row r="139" spans="1:1">
      <c r="A139" t="s">
        <v>587</v>
      </c>
    </row>
    <row r="140" spans="1:1">
      <c r="A140" t="s">
        <v>588</v>
      </c>
    </row>
    <row r="141" spans="1:1">
      <c r="A141" t="s">
        <v>589</v>
      </c>
    </row>
    <row r="142" spans="1:1">
      <c r="A142" t="s">
        <v>590</v>
      </c>
    </row>
    <row r="143" spans="1:1">
      <c r="A143" t="s">
        <v>591</v>
      </c>
    </row>
    <row r="144" spans="1:1">
      <c r="A144" t="s">
        <v>592</v>
      </c>
    </row>
    <row r="145" spans="1:1">
      <c r="A145" t="s">
        <v>593</v>
      </c>
    </row>
    <row r="146" spans="1:1">
      <c r="A146" t="s">
        <v>594</v>
      </c>
    </row>
    <row r="147" spans="1:1">
      <c r="A147" t="s">
        <v>595</v>
      </c>
    </row>
    <row r="148" spans="1:1">
      <c r="A148" t="s">
        <v>596</v>
      </c>
    </row>
    <row r="149" spans="1:1">
      <c r="A149" t="s">
        <v>597</v>
      </c>
    </row>
    <row r="150" spans="1:1">
      <c r="A150" t="s">
        <v>598</v>
      </c>
    </row>
    <row r="151" spans="1:1">
      <c r="A151" t="s">
        <v>599</v>
      </c>
    </row>
    <row r="152" spans="1:1">
      <c r="A152" t="s">
        <v>600</v>
      </c>
    </row>
    <row r="153" spans="1:1">
      <c r="A153" t="s">
        <v>601</v>
      </c>
    </row>
    <row r="154" spans="1:1">
      <c r="A154" t="s">
        <v>602</v>
      </c>
    </row>
    <row r="155" spans="1:1">
      <c r="A155" t="s">
        <v>603</v>
      </c>
    </row>
    <row r="156" spans="1:1">
      <c r="A156" t="s">
        <v>604</v>
      </c>
    </row>
    <row r="157" spans="1:1">
      <c r="A157" t="s">
        <v>605</v>
      </c>
    </row>
    <row r="158" spans="1:1">
      <c r="A158" t="s">
        <v>606</v>
      </c>
    </row>
    <row r="159" spans="1:1">
      <c r="A159" t="s">
        <v>607</v>
      </c>
    </row>
    <row r="160" spans="1:1">
      <c r="A160" t="s">
        <v>608</v>
      </c>
    </row>
    <row r="161" spans="1:1">
      <c r="A161" t="s">
        <v>609</v>
      </c>
    </row>
    <row r="162" spans="1:1">
      <c r="A162" t="s">
        <v>610</v>
      </c>
    </row>
    <row r="163" spans="1:1">
      <c r="A163" t="s">
        <v>611</v>
      </c>
    </row>
    <row r="164" spans="1:1">
      <c r="A164" t="s">
        <v>612</v>
      </c>
    </row>
    <row r="165" spans="1:1">
      <c r="A165" t="s">
        <v>613</v>
      </c>
    </row>
    <row r="166" spans="1:1">
      <c r="A166" t="s">
        <v>614</v>
      </c>
    </row>
    <row r="167" spans="1:1">
      <c r="A167" t="s">
        <v>615</v>
      </c>
    </row>
    <row r="168" spans="1:1">
      <c r="A168" t="s">
        <v>616</v>
      </c>
    </row>
    <row r="169" spans="1:1">
      <c r="A169" t="s">
        <v>617</v>
      </c>
    </row>
    <row r="170" spans="1:1">
      <c r="A170" t="s">
        <v>618</v>
      </c>
    </row>
    <row r="171" spans="1:1">
      <c r="A171" t="s">
        <v>619</v>
      </c>
    </row>
    <row r="172" spans="1:1">
      <c r="A172" t="s">
        <v>620</v>
      </c>
    </row>
    <row r="173" spans="1:1">
      <c r="A173" t="s">
        <v>621</v>
      </c>
    </row>
    <row r="174" spans="1:1">
      <c r="A174" t="s">
        <v>622</v>
      </c>
    </row>
    <row r="175" spans="1:1">
      <c r="A175" t="s">
        <v>623</v>
      </c>
    </row>
    <row r="176" spans="1:1">
      <c r="A176" t="s">
        <v>624</v>
      </c>
    </row>
    <row r="177" spans="1:1">
      <c r="A177" t="s">
        <v>625</v>
      </c>
    </row>
    <row r="178" spans="1:1">
      <c r="A178" t="s">
        <v>626</v>
      </c>
    </row>
    <row r="179" spans="1:1">
      <c r="A179" t="s">
        <v>627</v>
      </c>
    </row>
    <row r="180" spans="1:1">
      <c r="A180" t="s">
        <v>628</v>
      </c>
    </row>
    <row r="181" spans="1:1">
      <c r="A181" t="s">
        <v>629</v>
      </c>
    </row>
    <row r="182" spans="1:1">
      <c r="A182" t="s">
        <v>630</v>
      </c>
    </row>
    <row r="183" spans="1:1">
      <c r="A183" t="s">
        <v>631</v>
      </c>
    </row>
    <row r="184" spans="1:1">
      <c r="A184" t="s">
        <v>632</v>
      </c>
    </row>
    <row r="185" spans="1:1">
      <c r="A185" t="s">
        <v>633</v>
      </c>
    </row>
    <row r="186" spans="1:1">
      <c r="A186" t="s">
        <v>634</v>
      </c>
    </row>
    <row r="187" spans="1:1">
      <c r="A187" t="s">
        <v>635</v>
      </c>
    </row>
    <row r="188" spans="1:1">
      <c r="A188" t="s">
        <v>636</v>
      </c>
    </row>
    <row r="189" spans="1:1">
      <c r="A189" t="s">
        <v>637</v>
      </c>
    </row>
    <row r="190" spans="1:1">
      <c r="A190" t="s">
        <v>638</v>
      </c>
    </row>
    <row r="191" spans="1:1">
      <c r="A191" t="s">
        <v>639</v>
      </c>
    </row>
    <row r="192" spans="1:1">
      <c r="A192" t="s">
        <v>640</v>
      </c>
    </row>
    <row r="193" spans="1:1">
      <c r="A193" t="s">
        <v>641</v>
      </c>
    </row>
    <row r="194" spans="1:1">
      <c r="A194" t="s">
        <v>642</v>
      </c>
    </row>
    <row r="195" spans="1:1">
      <c r="A195" t="s">
        <v>643</v>
      </c>
    </row>
    <row r="196" spans="1:1">
      <c r="A196" t="s">
        <v>644</v>
      </c>
    </row>
    <row r="197" spans="1:1">
      <c r="A197" t="s">
        <v>645</v>
      </c>
    </row>
    <row r="198" spans="1:1">
      <c r="A198" t="s">
        <v>646</v>
      </c>
    </row>
    <row r="199" spans="1:1">
      <c r="A199" t="s">
        <v>647</v>
      </c>
    </row>
    <row r="200" spans="1:1">
      <c r="A200" t="s">
        <v>648</v>
      </c>
    </row>
    <row r="201" spans="1:1">
      <c r="A201" t="s">
        <v>649</v>
      </c>
    </row>
    <row r="202" spans="1:1">
      <c r="A202" t="s">
        <v>650</v>
      </c>
    </row>
    <row r="203" spans="1:1">
      <c r="A203" t="s">
        <v>651</v>
      </c>
    </row>
    <row r="204" spans="1:1">
      <c r="A204" t="s">
        <v>652</v>
      </c>
    </row>
    <row r="205" spans="1:1">
      <c r="A205" t="s">
        <v>653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2F0FDE7E895D449C7503D8BEF53736" ma:contentTypeVersion="22" ma:contentTypeDescription="Create a new document." ma:contentTypeScope="" ma:versionID="2af180f2978dbea40e4457278c62760a">
  <xsd:schema xmlns:xsd="http://www.w3.org/2001/XMLSchema" xmlns:xs="http://www.w3.org/2001/XMLSchema" xmlns:p="http://schemas.microsoft.com/office/2006/metadata/properties" xmlns:ns2="c5ffd3ae-5c0b-42ad-8e7e-9490b9803d46" xmlns:ns3="6c20473d-6fc0-4fb1-af59-2d3c916fdc79" targetNamespace="http://schemas.microsoft.com/office/2006/metadata/properties" ma:root="true" ma:fieldsID="6c03b0203acd930fe5a65272ebcd367e" ns2:_="" ns3:_="">
    <xsd:import namespace="c5ffd3ae-5c0b-42ad-8e7e-9490b9803d46"/>
    <xsd:import namespace="6c20473d-6fc0-4fb1-af59-2d3c916fdc7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Potentialcandidate_x003f_" minOccurs="0"/>
                <xsd:element ref="ns2:yes_x002f_no" minOccurs="0"/>
                <xsd:element ref="ns2:_Flow_SignoffStatus" minOccurs="0"/>
                <xsd:element ref="ns2:MediaServiceObjectDetectorVersions" minOccurs="0"/>
                <xsd:element ref="ns2:MediaServiceSearchProperties" minOccurs="0"/>
                <xsd:element ref="ns2: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ffd3ae-5c0b-42ad-8e7e-9490b9803d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266c38e-781f-4f86-94bc-aad30ff46ff7" ma:termSetId="09814cd3-568e-fe90-9814-8d621ff8fb84" ma:anchorId="fba54fb3-c3e1-fe81-a776-ca4b69148c4d" ma:open="true" ma:isKeyword="false">
      <xsd:complexType>
        <xsd:sequence>
          <xsd:element ref="pc:Terms" minOccurs="0" maxOccurs="1"/>
        </xsd:sequence>
      </xsd:complexType>
    </xsd:element>
    <xsd:element name="Potentialcandidate_x003f_" ma:index="24" nillable="true" ma:displayName="Potential candidate?" ma:default="0" ma:format="Dropdown" ma:internalName="Potentialcandidate_x003f_">
      <xsd:simpleType>
        <xsd:restriction base="dms:Boolean"/>
      </xsd:simpleType>
    </xsd:element>
    <xsd:element name="yes_x002f_no" ma:index="25" nillable="true" ma:displayName="yes/no" ma:format="Dropdown" ma:internalName="yes_x002f_no">
      <xsd:simpleType>
        <xsd:union memberTypes="dms:Text">
          <xsd:simpleType>
            <xsd:restriction base="dms:Choice">
              <xsd:enumeration value="Choice 1"/>
              <xsd:enumeration value="Choice 2"/>
              <xsd:enumeration value="Choice 3"/>
            </xsd:restriction>
          </xsd:simpleType>
        </xsd:union>
      </xsd:simpleType>
    </xsd:element>
    <xsd:element name="_Flow_SignoffStatus" ma:index="26" nillable="true" ma:displayName="Sign-off status" ma:internalName="Sign_x002d_off_x0020_status">
      <xsd:simpleType>
        <xsd:restriction base="dms:Text"/>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Comment" ma:index="29" nillable="true" ma:displayName="Comment" ma:format="Dropdown" ma:internalName="Comment">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c20473d-6fc0-4fb1-af59-2d3c916fdc7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2ce6ce2-17b9-4bb3-896b-98f71413d6ca}" ma:internalName="TaxCatchAll" ma:showField="CatchAllData" ma:web="6c20473d-6fc0-4fb1-af59-2d3c916fdc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yes_x002f_no xmlns="c5ffd3ae-5c0b-42ad-8e7e-9490b9803d46" xsi:nil="true"/>
    <Potentialcandidate_x003f_ xmlns="c5ffd3ae-5c0b-42ad-8e7e-9490b9803d46">false</Potentialcandidate_x003f_>
    <TaxCatchAll xmlns="6c20473d-6fc0-4fb1-af59-2d3c916fdc79" xsi:nil="true"/>
    <_Flow_SignoffStatus xmlns="c5ffd3ae-5c0b-42ad-8e7e-9490b9803d46" xsi:nil="true"/>
    <lcf76f155ced4ddcb4097134ff3c332f xmlns="c5ffd3ae-5c0b-42ad-8e7e-9490b9803d46">
      <Terms xmlns="http://schemas.microsoft.com/office/infopath/2007/PartnerControls"/>
    </lcf76f155ced4ddcb4097134ff3c332f>
    <Comment xmlns="c5ffd3ae-5c0b-42ad-8e7e-9490b9803d46" xsi:nil="true"/>
  </documentManagement>
</p:properties>
</file>

<file path=customXml/itemProps1.xml><?xml version="1.0" encoding="utf-8"?>
<ds:datastoreItem xmlns:ds="http://schemas.openxmlformats.org/officeDocument/2006/customXml" ds:itemID="{8AD5275B-BFFD-4185-9341-A629AB449A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ffd3ae-5c0b-42ad-8e7e-9490b9803d46"/>
    <ds:schemaRef ds:uri="6c20473d-6fc0-4fb1-af59-2d3c916fdc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3ECC70-F81F-4F72-94BA-4EF54631FED6}">
  <ds:schemaRefs>
    <ds:schemaRef ds:uri="http://schemas.microsoft.com/sharepoint/v3/contenttype/forms"/>
  </ds:schemaRefs>
</ds:datastoreItem>
</file>

<file path=customXml/itemProps3.xml><?xml version="1.0" encoding="utf-8"?>
<ds:datastoreItem xmlns:ds="http://schemas.openxmlformats.org/officeDocument/2006/customXml" ds:itemID="{A725DC40-BC38-4EDA-8937-4A6574D73EC7}">
  <ds:schemaRefs>
    <ds:schemaRef ds:uri="http://purl.org/dc/terms/"/>
    <ds:schemaRef ds:uri="http://www.w3.org/XML/1998/namespace"/>
    <ds:schemaRef ds:uri="http://purl.org/dc/elements/1.1/"/>
    <ds:schemaRef ds:uri="http://purl.org/dc/dcmitype/"/>
    <ds:schemaRef ds:uri="c5ffd3ae-5c0b-42ad-8e7e-9490b9803d46"/>
    <ds:schemaRef ds:uri="http://schemas.microsoft.com/office/2006/metadata/properties"/>
    <ds:schemaRef ds:uri="http://schemas.openxmlformats.org/package/2006/metadata/core-properties"/>
    <ds:schemaRef ds:uri="http://schemas.microsoft.com/office/infopath/2007/PartnerControls"/>
    <ds:schemaRef ds:uri="http://schemas.microsoft.com/office/2006/documentManagement/types"/>
    <ds:schemaRef ds:uri="6c20473d-6fc0-4fb1-af59-2d3c916fdc7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171</vt:i4>
      </vt:variant>
    </vt:vector>
  </HeadingPairs>
  <TitlesOfParts>
    <vt:vector size="181" baseType="lpstr">
      <vt:lpstr>Overview</vt:lpstr>
      <vt:lpstr>Setting</vt:lpstr>
      <vt:lpstr>Model Inputs</vt:lpstr>
      <vt:lpstr>Model</vt:lpstr>
      <vt:lpstr>Detailed Results </vt:lpstr>
      <vt:lpstr>Mortality Cost Calculation</vt:lpstr>
      <vt:lpstr>Results</vt:lpstr>
      <vt:lpstr>OWSA</vt:lpstr>
      <vt:lpstr>Appendix</vt:lpstr>
      <vt:lpstr>U_Lists</vt:lpstr>
      <vt:lpstr>c_custom1_avg</vt:lpstr>
      <vt:lpstr>c_custom1_other</vt:lpstr>
      <vt:lpstr>c_custom1_priv_other</vt:lpstr>
      <vt:lpstr>c_custom1_privhos</vt:lpstr>
      <vt:lpstr>c_custom1_privphar</vt:lpstr>
      <vt:lpstr>c_custom1_pubhc</vt:lpstr>
      <vt:lpstr>c_custom1_pubhosp</vt:lpstr>
      <vt:lpstr>c_custom2_avg</vt:lpstr>
      <vt:lpstr>c_custom2_other</vt:lpstr>
      <vt:lpstr>c_custom2_priv_other</vt:lpstr>
      <vt:lpstr>c_custom2_privhos</vt:lpstr>
      <vt:lpstr>c_custom2_privphar</vt:lpstr>
      <vt:lpstr>c_custom2_pubhc</vt:lpstr>
      <vt:lpstr>c_custom2_pubhosp</vt:lpstr>
      <vt:lpstr>c_custom3_avg</vt:lpstr>
      <vt:lpstr>c_custom3_other</vt:lpstr>
      <vt:lpstr>c_custom3_priv_other</vt:lpstr>
      <vt:lpstr>c_custom3_privhos</vt:lpstr>
      <vt:lpstr>c_custom3_privphar</vt:lpstr>
      <vt:lpstr>c_custom3_pubhc</vt:lpstr>
      <vt:lpstr>c_custom3_pubhosp</vt:lpstr>
      <vt:lpstr>c_custom4_avg</vt:lpstr>
      <vt:lpstr>c_custom4_other</vt:lpstr>
      <vt:lpstr>c_custom4_priv_other</vt:lpstr>
      <vt:lpstr>c_custom4_privhos</vt:lpstr>
      <vt:lpstr>c_custom4_privphar</vt:lpstr>
      <vt:lpstr>c_custom4_pubhc</vt:lpstr>
      <vt:lpstr>c_custom4_pubhosp</vt:lpstr>
      <vt:lpstr>c_drug_avg</vt:lpstr>
      <vt:lpstr>c_drug_other</vt:lpstr>
      <vt:lpstr>c_drug_priv_hos</vt:lpstr>
      <vt:lpstr>c_drug_priv_other</vt:lpstr>
      <vt:lpstr>c_drug_priv_phar</vt:lpstr>
      <vt:lpstr>c_drug_pub_hc</vt:lpstr>
      <vt:lpstr>c_drug_pub_hos</vt:lpstr>
      <vt:lpstr>custom1_ad</vt:lpstr>
      <vt:lpstr>custom1_notx</vt:lpstr>
      <vt:lpstr>custom1_tx</vt:lpstr>
      <vt:lpstr>custom2_ad</vt:lpstr>
      <vt:lpstr>custom2_notx</vt:lpstr>
      <vt:lpstr>custom2_tx</vt:lpstr>
      <vt:lpstr>custom3_ad</vt:lpstr>
      <vt:lpstr>custom3_notx</vt:lpstr>
      <vt:lpstr>custom3_tx</vt:lpstr>
      <vt:lpstr>custom4_ad</vt:lpstr>
      <vt:lpstr>custom4_notx</vt:lpstr>
      <vt:lpstr>custom4_tx</vt:lpstr>
      <vt:lpstr>daly_ad</vt:lpstr>
      <vt:lpstr>daly_notx</vt:lpstr>
      <vt:lpstr>daly_tx</vt:lpstr>
      <vt:lpstr>death_ad</vt:lpstr>
      <vt:lpstr>death_notx</vt:lpstr>
      <vt:lpstr>death_tx</vt:lpstr>
      <vt:lpstr>ly_ad</vt:lpstr>
      <vt:lpstr>ly_notx</vt:lpstr>
      <vt:lpstr>ly_tx</vt:lpstr>
      <vt:lpstr>OWSA_all</vt:lpstr>
      <vt:lpstr>owsa_high</vt:lpstr>
      <vt:lpstr>owsa_low</vt:lpstr>
      <vt:lpstr>OWSA_results</vt:lpstr>
      <vt:lpstr>OWSA_sort</vt:lpstr>
      <vt:lpstr>OWSA_spread</vt:lpstr>
      <vt:lpstr>p_f_ad</vt:lpstr>
      <vt:lpstr>p_p1_f</vt:lpstr>
      <vt:lpstr>p_p1_other_f</vt:lpstr>
      <vt:lpstr>p_p1_other_ss1</vt:lpstr>
      <vt:lpstr>p_p1_other_ss2</vt:lpstr>
      <vt:lpstr>p_p1_other_st</vt:lpstr>
      <vt:lpstr>p_p1_privh_f</vt:lpstr>
      <vt:lpstr>p_p1_privh_ss1</vt:lpstr>
      <vt:lpstr>p_p1_privh_ss2</vt:lpstr>
      <vt:lpstr>p_p1_privh_st</vt:lpstr>
      <vt:lpstr>p_p1_privo_f</vt:lpstr>
      <vt:lpstr>p_p1_privo_ss1</vt:lpstr>
      <vt:lpstr>p_p1_privo_ss2</vt:lpstr>
      <vt:lpstr>p_p1_privo_st</vt:lpstr>
      <vt:lpstr>p_p1_privph_f</vt:lpstr>
      <vt:lpstr>p_p1_privph_ss1</vt:lpstr>
      <vt:lpstr>p_p1_privph_ss2</vt:lpstr>
      <vt:lpstr>p_p1_privph_st</vt:lpstr>
      <vt:lpstr>p_p1_pubh_f</vt:lpstr>
      <vt:lpstr>p_p1_pubh_ss1</vt:lpstr>
      <vt:lpstr>p_p1_pubh_ss2</vt:lpstr>
      <vt:lpstr>p_p1_pubh_st</vt:lpstr>
      <vt:lpstr>p_p1_pubhc_f</vt:lpstr>
      <vt:lpstr>p_p1_pubhc_ss1</vt:lpstr>
      <vt:lpstr>p_p1_pubhc_ss2</vt:lpstr>
      <vt:lpstr>p_p1_pubhc_st</vt:lpstr>
      <vt:lpstr>p_p1_ss1</vt:lpstr>
      <vt:lpstr>p_p1_ss2</vt:lpstr>
      <vt:lpstr>p_p1_st</vt:lpstr>
      <vt:lpstr>p_p2_other_f</vt:lpstr>
      <vt:lpstr>p_p2_other_ss1</vt:lpstr>
      <vt:lpstr>p_p2_other_ss2</vt:lpstr>
      <vt:lpstr>p_p2_other_st</vt:lpstr>
      <vt:lpstr>p_p2_privh_f</vt:lpstr>
      <vt:lpstr>p_p2_privh_ss1</vt:lpstr>
      <vt:lpstr>p_p2_privh_ss2</vt:lpstr>
      <vt:lpstr>p_p2_privh_st</vt:lpstr>
      <vt:lpstr>p_p2_privo_f</vt:lpstr>
      <vt:lpstr>p_p2_privo_ss1</vt:lpstr>
      <vt:lpstr>p_p2_privo_ss2</vt:lpstr>
      <vt:lpstr>p_p2_privo_st</vt:lpstr>
      <vt:lpstr>p_p2_privph_f</vt:lpstr>
      <vt:lpstr>p_p2_privph_ss1</vt:lpstr>
      <vt:lpstr>p_p2_privph_ss2</vt:lpstr>
      <vt:lpstr>p_p2_privph_st</vt:lpstr>
      <vt:lpstr>p_p2_pubh_f</vt:lpstr>
      <vt:lpstr>p_p2_pubh_ss1</vt:lpstr>
      <vt:lpstr>p_p2_pubh_ss2</vt:lpstr>
      <vt:lpstr>p_p2_pubh_st</vt:lpstr>
      <vt:lpstr>p_p2_pubhc_f</vt:lpstr>
      <vt:lpstr>p_p2_pubhc_ss1</vt:lpstr>
      <vt:lpstr>p_p2_pubhc_ss2</vt:lpstr>
      <vt:lpstr>p_p2_pubhc_st</vt:lpstr>
      <vt:lpstr>p_priv_hos</vt:lpstr>
      <vt:lpstr>p_priv_other</vt:lpstr>
      <vt:lpstr>p_priv_phar</vt:lpstr>
      <vt:lpstr>p_pub_hc</vt:lpstr>
      <vt:lpstr>p_pub_hos</vt:lpstr>
      <vt:lpstr>p_sf_ad</vt:lpstr>
      <vt:lpstr>p_ss1_ad</vt:lpstr>
      <vt:lpstr>p_ss2_ad</vt:lpstr>
      <vt:lpstr>p_txeff_f_s</vt:lpstr>
      <vt:lpstr>p_txeff_s</vt:lpstr>
      <vt:lpstr>p_txeff_ss1_s</vt:lpstr>
      <vt:lpstr>p_txeff_ss2_s</vt:lpstr>
      <vt:lpstr>p_updose</vt:lpstr>
      <vt:lpstr>p_updose_other</vt:lpstr>
      <vt:lpstr>p_updose_prihos</vt:lpstr>
      <vt:lpstr>p_updose_priphar</vt:lpstr>
      <vt:lpstr>p_updose_privother</vt:lpstr>
      <vt:lpstr>p_updose_pubhc</vt:lpstr>
      <vt:lpstr>p_updose_pubhos</vt:lpstr>
      <vt:lpstr>pop_elig</vt:lpstr>
      <vt:lpstr>pop_receive_other</vt:lpstr>
      <vt:lpstr>pop_receive_priv</vt:lpstr>
      <vt:lpstr>pop_receive_pub</vt:lpstr>
      <vt:lpstr>pop_seek</vt:lpstr>
      <vt:lpstr>pr_branch_custom1_ideal</vt:lpstr>
      <vt:lpstr>pr_branch_custom1_real</vt:lpstr>
      <vt:lpstr>pr_branch_custom2_ideal</vt:lpstr>
      <vt:lpstr>pr_branch_custom2_real</vt:lpstr>
      <vt:lpstr>pr_branch_custom3_ideal</vt:lpstr>
      <vt:lpstr>pr_branch_custom3_real</vt:lpstr>
      <vt:lpstr>pr_branch_custom4_ideal</vt:lpstr>
      <vt:lpstr>pr_branch_custom4_real</vt:lpstr>
      <vt:lpstr>pr_branch_daly_ideal</vt:lpstr>
      <vt:lpstr>pr_branch_daly_real</vt:lpstr>
      <vt:lpstr>pr_branch_death_ideal</vt:lpstr>
      <vt:lpstr>pr_branch_death_real</vt:lpstr>
      <vt:lpstr>pr_branch_ly_ideal</vt:lpstr>
      <vt:lpstr>pr_branch_ly_real</vt:lpstr>
      <vt:lpstr>pr_branch_qaly_ideal</vt:lpstr>
      <vt:lpstr>pr_branch_qaly_real</vt:lpstr>
      <vt:lpstr>qaly_ad</vt:lpstr>
      <vt:lpstr>qaly_notx</vt:lpstr>
      <vt:lpstr>qaly_tx</vt:lpstr>
      <vt:lpstr>sickdays_1_notx</vt:lpstr>
      <vt:lpstr>sickdays_1_tx</vt:lpstr>
      <vt:lpstr>sickdays_2_notx</vt:lpstr>
      <vt:lpstr>sickdays_2_tx</vt:lpstr>
      <vt:lpstr>sickdays_3_notx</vt:lpstr>
      <vt:lpstr>sickdays_3_tx</vt:lpstr>
      <vt:lpstr>sickdays_4_notx</vt:lpstr>
      <vt:lpstr>sickdays_4_tx</vt:lpstr>
      <vt:lpstr>total_doses_up_f</vt:lpstr>
      <vt:lpstr>total_doses_up_ss1</vt:lpstr>
      <vt:lpstr>total_doses_up_ss2</vt:lpstr>
      <vt:lpstr>vars_OWSA</vt:lpstr>
      <vt:lpstr>wage_rate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Sabra Zaraa</dc:creator>
  <cp:keywords/>
  <dc:description/>
  <cp:lastModifiedBy>Kaitlyn Markley</cp:lastModifiedBy>
  <cp:revision/>
  <dcterms:created xsi:type="dcterms:W3CDTF">2021-04-20T09:54:18Z</dcterms:created>
  <dcterms:modified xsi:type="dcterms:W3CDTF">2024-10-15T18:41:43Z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0x010100B62F0FDE7E895D449C7503D8BEF53736</vt:lpwstr>
  </property>
</Properties>
</file>